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3913"/>
  <workbookPr showInkAnnotation="0" autoCompressPictures="0"/>
  <bookViews>
    <workbookView xWindow="760" yWindow="0" windowWidth="27860" windowHeight="17480" tabRatio="500"/>
  </bookViews>
  <sheets>
    <sheet name="1. Bottom Up Revenue Model" sheetId="1" r:id="rId1"/>
    <sheet name="2. Top Down Revenue Model" sheetId="5" r:id="rId2"/>
    <sheet name="Sales &amp; SDR Hiring Plan, Quotas" sheetId="3" r:id="rId3"/>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E61" i="1" l="1"/>
  <c r="G66" i="1"/>
  <c r="H64" i="1"/>
  <c r="H66" i="1"/>
  <c r="I64" i="1"/>
  <c r="I66" i="1"/>
  <c r="J64" i="1"/>
  <c r="J66" i="1"/>
  <c r="K64" i="1"/>
  <c r="K66" i="1"/>
  <c r="L64" i="1"/>
  <c r="L66" i="1"/>
  <c r="M64" i="1"/>
  <c r="M66" i="1"/>
  <c r="N64" i="1"/>
  <c r="N66" i="1"/>
  <c r="O64" i="1"/>
  <c r="O66" i="1"/>
  <c r="P64" i="1"/>
  <c r="P66" i="1"/>
  <c r="Q64" i="1"/>
  <c r="Q66" i="1"/>
  <c r="R64" i="1"/>
  <c r="R66" i="1"/>
  <c r="A86" i="1"/>
  <c r="G53" i="1"/>
  <c r="G46" i="1"/>
  <c r="G47" i="1"/>
  <c r="G47" i="5"/>
  <c r="G48" i="1"/>
  <c r="G48" i="5"/>
  <c r="G49" i="1"/>
  <c r="G49" i="5"/>
  <c r="G50" i="1"/>
  <c r="G50" i="5"/>
  <c r="B14" i="1"/>
  <c r="G51" i="1"/>
  <c r="G51" i="5"/>
  <c r="G46" i="5"/>
  <c r="H53" i="1"/>
  <c r="H46" i="1"/>
  <c r="H47" i="1"/>
  <c r="G33" i="1"/>
  <c r="G33" i="5"/>
  <c r="H79" i="5"/>
  <c r="H47" i="5"/>
  <c r="H48" i="1"/>
  <c r="G34" i="1"/>
  <c r="G34" i="5"/>
  <c r="H48" i="5"/>
  <c r="H49" i="1"/>
  <c r="G35" i="1"/>
  <c r="G35" i="5"/>
  <c r="H49" i="5"/>
  <c r="H50" i="1"/>
  <c r="G36" i="1"/>
  <c r="G36" i="5"/>
  <c r="H50" i="5"/>
  <c r="H51" i="1"/>
  <c r="G37" i="1"/>
  <c r="G37" i="5"/>
  <c r="H51" i="5"/>
  <c r="H46" i="5"/>
  <c r="I53" i="1"/>
  <c r="I46" i="1"/>
  <c r="I47" i="1"/>
  <c r="H33" i="1"/>
  <c r="H33" i="5"/>
  <c r="I79" i="5"/>
  <c r="I47" i="5"/>
  <c r="I48" i="1"/>
  <c r="H34" i="1"/>
  <c r="H34" i="5"/>
  <c r="I48" i="5"/>
  <c r="I49" i="1"/>
  <c r="H35" i="1"/>
  <c r="H35" i="5"/>
  <c r="I49" i="5"/>
  <c r="I50" i="1"/>
  <c r="H36" i="1"/>
  <c r="H36" i="5"/>
  <c r="I50" i="5"/>
  <c r="I51" i="1"/>
  <c r="H37" i="1"/>
  <c r="H37" i="5"/>
  <c r="I51" i="5"/>
  <c r="I46" i="5"/>
  <c r="J53" i="1"/>
  <c r="J46" i="1"/>
  <c r="J47" i="1"/>
  <c r="I33" i="1"/>
  <c r="I33" i="5"/>
  <c r="J79" i="5"/>
  <c r="J47" i="5"/>
  <c r="J48" i="1"/>
  <c r="I34" i="1"/>
  <c r="I34" i="5"/>
  <c r="J48" i="5"/>
  <c r="J49" i="1"/>
  <c r="I35" i="1"/>
  <c r="I35" i="5"/>
  <c r="J49" i="5"/>
  <c r="J50" i="1"/>
  <c r="I36" i="1"/>
  <c r="I36" i="5"/>
  <c r="J50" i="5"/>
  <c r="J51" i="1"/>
  <c r="I37" i="1"/>
  <c r="I37" i="5"/>
  <c r="J51" i="5"/>
  <c r="J46" i="5"/>
  <c r="K53" i="1"/>
  <c r="K46" i="1"/>
  <c r="K47" i="1"/>
  <c r="J33" i="1"/>
  <c r="G26" i="1"/>
  <c r="G20" i="1"/>
  <c r="G14" i="1"/>
  <c r="G8" i="1"/>
  <c r="G8" i="5"/>
  <c r="G14" i="5"/>
  <c r="G20" i="5"/>
  <c r="G26" i="5"/>
  <c r="J33" i="5"/>
  <c r="K79" i="5"/>
  <c r="K47" i="5"/>
  <c r="K48" i="1"/>
  <c r="J34" i="1"/>
  <c r="G27" i="1"/>
  <c r="G21" i="1"/>
  <c r="G15" i="1"/>
  <c r="G9" i="1"/>
  <c r="G9" i="5"/>
  <c r="G15" i="5"/>
  <c r="G21" i="5"/>
  <c r="G27" i="5"/>
  <c r="J34" i="5"/>
  <c r="K48" i="5"/>
  <c r="K49" i="1"/>
  <c r="J35" i="1"/>
  <c r="G28" i="1"/>
  <c r="G22" i="1"/>
  <c r="G16" i="1"/>
  <c r="G10" i="1"/>
  <c r="G10" i="5"/>
  <c r="G16" i="5"/>
  <c r="G22" i="5"/>
  <c r="G28" i="5"/>
  <c r="J35" i="5"/>
  <c r="K49" i="5"/>
  <c r="K50" i="1"/>
  <c r="J36" i="1"/>
  <c r="G29" i="1"/>
  <c r="G23" i="1"/>
  <c r="G17" i="1"/>
  <c r="G11" i="1"/>
  <c r="G11" i="5"/>
  <c r="G17" i="5"/>
  <c r="G23" i="5"/>
  <c r="G29" i="5"/>
  <c r="J36" i="5"/>
  <c r="K50" i="5"/>
  <c r="K51" i="1"/>
  <c r="J37" i="1"/>
  <c r="G30" i="1"/>
  <c r="G30" i="5"/>
  <c r="J37" i="5"/>
  <c r="K51" i="5"/>
  <c r="K46" i="5"/>
  <c r="L53" i="1"/>
  <c r="L46" i="1"/>
  <c r="L47" i="1"/>
  <c r="K33" i="1"/>
  <c r="H26" i="1"/>
  <c r="H20" i="1"/>
  <c r="H14" i="1"/>
  <c r="H8" i="1"/>
  <c r="H8" i="5"/>
  <c r="H14" i="5"/>
  <c r="H20" i="5"/>
  <c r="H26" i="5"/>
  <c r="K33" i="5"/>
  <c r="L79" i="5"/>
  <c r="L47" i="5"/>
  <c r="L48" i="1"/>
  <c r="K34" i="1"/>
  <c r="H27" i="1"/>
  <c r="H21" i="1"/>
  <c r="H15" i="1"/>
  <c r="H9" i="1"/>
  <c r="H9" i="5"/>
  <c r="H15" i="5"/>
  <c r="H21" i="5"/>
  <c r="H27" i="5"/>
  <c r="K34" i="5"/>
  <c r="L48" i="5"/>
  <c r="L49" i="1"/>
  <c r="K35" i="1"/>
  <c r="H28" i="1"/>
  <c r="H22" i="1"/>
  <c r="H16" i="1"/>
  <c r="H10" i="1"/>
  <c r="H10" i="5"/>
  <c r="H16" i="5"/>
  <c r="H22" i="5"/>
  <c r="H28" i="5"/>
  <c r="K35" i="5"/>
  <c r="L49" i="5"/>
  <c r="L50" i="1"/>
  <c r="K36" i="1"/>
  <c r="H29" i="1"/>
  <c r="H23" i="1"/>
  <c r="H17" i="1"/>
  <c r="H11" i="1"/>
  <c r="H11" i="5"/>
  <c r="H17" i="5"/>
  <c r="H23" i="5"/>
  <c r="H29" i="5"/>
  <c r="K36" i="5"/>
  <c r="L50" i="5"/>
  <c r="L51" i="1"/>
  <c r="K37" i="1"/>
  <c r="H30" i="1"/>
  <c r="H30" i="5"/>
  <c r="K37" i="5"/>
  <c r="L51" i="5"/>
  <c r="L46" i="5"/>
  <c r="M53" i="1"/>
  <c r="M46" i="1"/>
  <c r="M47" i="1"/>
  <c r="L33" i="1"/>
  <c r="I26" i="1"/>
  <c r="I20" i="1"/>
  <c r="I14" i="1"/>
  <c r="I8" i="1"/>
  <c r="I8" i="5"/>
  <c r="I14" i="5"/>
  <c r="I20" i="5"/>
  <c r="I26" i="5"/>
  <c r="L33" i="5"/>
  <c r="M79" i="5"/>
  <c r="M47" i="5"/>
  <c r="M48" i="1"/>
  <c r="L34" i="1"/>
  <c r="I27" i="1"/>
  <c r="I21" i="1"/>
  <c r="I15" i="1"/>
  <c r="I9" i="1"/>
  <c r="I9" i="5"/>
  <c r="I15" i="5"/>
  <c r="I21" i="5"/>
  <c r="I27" i="5"/>
  <c r="L34" i="5"/>
  <c r="M48" i="5"/>
  <c r="M49" i="1"/>
  <c r="L35" i="1"/>
  <c r="I28" i="1"/>
  <c r="I22" i="1"/>
  <c r="I16" i="1"/>
  <c r="I10" i="1"/>
  <c r="I10" i="5"/>
  <c r="I16" i="5"/>
  <c r="I22" i="5"/>
  <c r="I28" i="5"/>
  <c r="L35" i="5"/>
  <c r="M49" i="5"/>
  <c r="M50" i="1"/>
  <c r="L36" i="1"/>
  <c r="I29" i="1"/>
  <c r="I23" i="1"/>
  <c r="I17" i="1"/>
  <c r="I11" i="1"/>
  <c r="I11" i="5"/>
  <c r="I17" i="5"/>
  <c r="I23" i="5"/>
  <c r="I29" i="5"/>
  <c r="L36" i="5"/>
  <c r="M50" i="5"/>
  <c r="M51" i="1"/>
  <c r="L37" i="1"/>
  <c r="I30" i="1"/>
  <c r="I30" i="5"/>
  <c r="L37" i="5"/>
  <c r="M51" i="5"/>
  <c r="M46" i="5"/>
  <c r="N53" i="1"/>
  <c r="N46" i="1"/>
  <c r="N47" i="1"/>
  <c r="M33" i="1"/>
  <c r="J26" i="1"/>
  <c r="J20" i="1"/>
  <c r="J14" i="1"/>
  <c r="J8" i="1"/>
  <c r="J8" i="5"/>
  <c r="J14" i="5"/>
  <c r="J20" i="5"/>
  <c r="J26" i="5"/>
  <c r="M33" i="5"/>
  <c r="N79" i="5"/>
  <c r="N47" i="5"/>
  <c r="N48" i="1"/>
  <c r="M34" i="1"/>
  <c r="J27" i="1"/>
  <c r="J21" i="1"/>
  <c r="J15" i="1"/>
  <c r="J9" i="1"/>
  <c r="J9" i="5"/>
  <c r="J15" i="5"/>
  <c r="J21" i="5"/>
  <c r="J27" i="5"/>
  <c r="M34" i="5"/>
  <c r="N48" i="5"/>
  <c r="N49" i="1"/>
  <c r="M35" i="1"/>
  <c r="J28" i="1"/>
  <c r="J22" i="1"/>
  <c r="J16" i="1"/>
  <c r="J10" i="1"/>
  <c r="J10" i="5"/>
  <c r="J16" i="5"/>
  <c r="J22" i="5"/>
  <c r="J28" i="5"/>
  <c r="M35" i="5"/>
  <c r="N49" i="5"/>
  <c r="N50" i="1"/>
  <c r="M36" i="1"/>
  <c r="J29" i="1"/>
  <c r="J23" i="1"/>
  <c r="J17" i="1"/>
  <c r="J11" i="1"/>
  <c r="J11" i="5"/>
  <c r="J17" i="5"/>
  <c r="J23" i="5"/>
  <c r="J29" i="5"/>
  <c r="M36" i="5"/>
  <c r="N50" i="5"/>
  <c r="N51" i="1"/>
  <c r="M37" i="1"/>
  <c r="J30" i="1"/>
  <c r="J30" i="5"/>
  <c r="M37" i="5"/>
  <c r="N51" i="5"/>
  <c r="N46" i="5"/>
  <c r="O53" i="1"/>
  <c r="O46" i="1"/>
  <c r="O47" i="1"/>
  <c r="N33" i="1"/>
  <c r="K26" i="1"/>
  <c r="K20" i="1"/>
  <c r="K14" i="1"/>
  <c r="K8" i="1"/>
  <c r="K8" i="5"/>
  <c r="K14" i="5"/>
  <c r="K20" i="5"/>
  <c r="K26" i="5"/>
  <c r="N33" i="5"/>
  <c r="O79" i="5"/>
  <c r="O47" i="5"/>
  <c r="O48" i="1"/>
  <c r="N34" i="1"/>
  <c r="K27" i="1"/>
  <c r="K21" i="1"/>
  <c r="K15" i="1"/>
  <c r="K9" i="1"/>
  <c r="K9" i="5"/>
  <c r="K15" i="5"/>
  <c r="K21" i="5"/>
  <c r="K27" i="5"/>
  <c r="N34" i="5"/>
  <c r="O48" i="5"/>
  <c r="O49" i="1"/>
  <c r="N35" i="1"/>
  <c r="K28" i="1"/>
  <c r="K22" i="1"/>
  <c r="K16" i="1"/>
  <c r="K10" i="1"/>
  <c r="K10" i="5"/>
  <c r="K16" i="5"/>
  <c r="K22" i="5"/>
  <c r="K28" i="5"/>
  <c r="N35" i="5"/>
  <c r="O49" i="5"/>
  <c r="O50" i="1"/>
  <c r="N36" i="1"/>
  <c r="K29" i="1"/>
  <c r="K23" i="1"/>
  <c r="K17" i="1"/>
  <c r="K11" i="1"/>
  <c r="K11" i="5"/>
  <c r="K17" i="5"/>
  <c r="K23" i="5"/>
  <c r="K29" i="5"/>
  <c r="N36" i="5"/>
  <c r="O50" i="5"/>
  <c r="O51" i="1"/>
  <c r="N37" i="1"/>
  <c r="K30" i="1"/>
  <c r="K30" i="5"/>
  <c r="N37" i="5"/>
  <c r="O51" i="5"/>
  <c r="O46" i="5"/>
  <c r="P53" i="1"/>
  <c r="P46" i="1"/>
  <c r="P47" i="1"/>
  <c r="O33" i="1"/>
  <c r="L26" i="1"/>
  <c r="L20" i="1"/>
  <c r="L14" i="1"/>
  <c r="L8" i="1"/>
  <c r="L8" i="5"/>
  <c r="L14" i="5"/>
  <c r="L20" i="5"/>
  <c r="L26" i="5"/>
  <c r="O33" i="5"/>
  <c r="P79" i="5"/>
  <c r="P47" i="5"/>
  <c r="P48" i="1"/>
  <c r="O34" i="1"/>
  <c r="L27" i="1"/>
  <c r="L21" i="1"/>
  <c r="L15" i="1"/>
  <c r="L9" i="1"/>
  <c r="L9" i="5"/>
  <c r="L15" i="5"/>
  <c r="L21" i="5"/>
  <c r="L27" i="5"/>
  <c r="O34" i="5"/>
  <c r="P48" i="5"/>
  <c r="P49" i="1"/>
  <c r="O35" i="1"/>
  <c r="L28" i="1"/>
  <c r="L22" i="1"/>
  <c r="L16" i="1"/>
  <c r="L10" i="1"/>
  <c r="L10" i="5"/>
  <c r="L16" i="5"/>
  <c r="L22" i="5"/>
  <c r="L28" i="5"/>
  <c r="O35" i="5"/>
  <c r="P49" i="5"/>
  <c r="P50" i="1"/>
  <c r="O36" i="1"/>
  <c r="L29" i="1"/>
  <c r="L23" i="1"/>
  <c r="L17" i="1"/>
  <c r="L11" i="1"/>
  <c r="L11" i="5"/>
  <c r="L17" i="5"/>
  <c r="L23" i="5"/>
  <c r="L29" i="5"/>
  <c r="O36" i="5"/>
  <c r="P50" i="5"/>
  <c r="P51" i="1"/>
  <c r="O37" i="1"/>
  <c r="L30" i="1"/>
  <c r="L30" i="5"/>
  <c r="O37" i="5"/>
  <c r="P51" i="5"/>
  <c r="P46" i="5"/>
  <c r="Q53" i="1"/>
  <c r="Q46" i="1"/>
  <c r="Q47" i="1"/>
  <c r="P33" i="1"/>
  <c r="M26" i="1"/>
  <c r="M20" i="1"/>
  <c r="M14" i="1"/>
  <c r="M8" i="1"/>
  <c r="M8" i="5"/>
  <c r="M14" i="5"/>
  <c r="M20" i="5"/>
  <c r="M26" i="5"/>
  <c r="P33" i="5"/>
  <c r="Q79" i="5"/>
  <c r="Q47" i="5"/>
  <c r="Q48" i="1"/>
  <c r="P34" i="1"/>
  <c r="M27" i="1"/>
  <c r="M21" i="1"/>
  <c r="M15" i="1"/>
  <c r="M9" i="1"/>
  <c r="M9" i="5"/>
  <c r="M15" i="5"/>
  <c r="M21" i="5"/>
  <c r="M27" i="5"/>
  <c r="P34" i="5"/>
  <c r="Q48" i="5"/>
  <c r="Q49" i="1"/>
  <c r="P35" i="1"/>
  <c r="M28" i="1"/>
  <c r="M22" i="1"/>
  <c r="M16" i="1"/>
  <c r="M10" i="1"/>
  <c r="M10" i="5"/>
  <c r="M16" i="5"/>
  <c r="M22" i="5"/>
  <c r="M28" i="5"/>
  <c r="P35" i="5"/>
  <c r="Q49" i="5"/>
  <c r="Q50" i="1"/>
  <c r="P36" i="1"/>
  <c r="M29" i="1"/>
  <c r="M23" i="1"/>
  <c r="M17" i="1"/>
  <c r="M11" i="1"/>
  <c r="M11" i="5"/>
  <c r="M17" i="5"/>
  <c r="M23" i="5"/>
  <c r="M29" i="5"/>
  <c r="P36" i="5"/>
  <c r="Q50" i="5"/>
  <c r="Q51" i="1"/>
  <c r="P37" i="1"/>
  <c r="M30" i="1"/>
  <c r="M30" i="5"/>
  <c r="P37" i="5"/>
  <c r="Q51" i="5"/>
  <c r="Q46" i="5"/>
  <c r="R53" i="1"/>
  <c r="R46" i="1"/>
  <c r="R47" i="1"/>
  <c r="Q33" i="1"/>
  <c r="N26" i="1"/>
  <c r="N20" i="1"/>
  <c r="N14" i="1"/>
  <c r="N8" i="1"/>
  <c r="N8" i="5"/>
  <c r="N14" i="5"/>
  <c r="N20" i="5"/>
  <c r="N26" i="5"/>
  <c r="Q33" i="5"/>
  <c r="R79" i="5"/>
  <c r="R47" i="5"/>
  <c r="R48" i="1"/>
  <c r="Q34" i="1"/>
  <c r="N27" i="1"/>
  <c r="N21" i="1"/>
  <c r="N15" i="1"/>
  <c r="N9" i="1"/>
  <c r="N9" i="5"/>
  <c r="N15" i="5"/>
  <c r="N21" i="5"/>
  <c r="N27" i="5"/>
  <c r="Q34" i="5"/>
  <c r="R48" i="5"/>
  <c r="R49" i="1"/>
  <c r="Q35" i="1"/>
  <c r="N28" i="1"/>
  <c r="N22" i="1"/>
  <c r="N16" i="1"/>
  <c r="N10" i="1"/>
  <c r="N10" i="5"/>
  <c r="N16" i="5"/>
  <c r="N22" i="5"/>
  <c r="N28" i="5"/>
  <c r="Q35" i="5"/>
  <c r="R49" i="5"/>
  <c r="R50" i="1"/>
  <c r="Q36" i="1"/>
  <c r="N29" i="1"/>
  <c r="N23" i="1"/>
  <c r="N17" i="1"/>
  <c r="N11" i="1"/>
  <c r="N11" i="5"/>
  <c r="N17" i="5"/>
  <c r="N23" i="5"/>
  <c r="N29" i="5"/>
  <c r="Q36" i="5"/>
  <c r="R50" i="5"/>
  <c r="R51" i="1"/>
  <c r="Q37" i="1"/>
  <c r="N30" i="1"/>
  <c r="N30" i="5"/>
  <c r="Q37" i="5"/>
  <c r="R51" i="5"/>
  <c r="R46" i="5"/>
  <c r="G4" i="1"/>
  <c r="G4" i="5"/>
  <c r="H4" i="1"/>
  <c r="H4" i="5"/>
  <c r="I4" i="1"/>
  <c r="I4" i="5"/>
  <c r="J4" i="1"/>
  <c r="J4" i="5"/>
  <c r="K4" i="1"/>
  <c r="K4" i="5"/>
  <c r="L4" i="1"/>
  <c r="L4" i="5"/>
  <c r="M4" i="1"/>
  <c r="M4" i="5"/>
  <c r="N4" i="1"/>
  <c r="N4" i="5"/>
  <c r="O4" i="1"/>
  <c r="O4" i="5"/>
  <c r="P4" i="1"/>
  <c r="P4" i="5"/>
  <c r="Q4" i="1"/>
  <c r="Q4" i="5"/>
  <c r="R4" i="1"/>
  <c r="R4" i="5"/>
  <c r="B17" i="5"/>
  <c r="G32" i="5"/>
  <c r="H32" i="5"/>
  <c r="I32" i="5"/>
  <c r="J32" i="5"/>
  <c r="K32" i="5"/>
  <c r="L32" i="5"/>
  <c r="M32" i="5"/>
  <c r="N32" i="5"/>
  <c r="O32" i="5"/>
  <c r="P32" i="5"/>
  <c r="Q32" i="5"/>
  <c r="S64" i="1"/>
  <c r="S61" i="1"/>
  <c r="S66" i="1"/>
  <c r="S53" i="1"/>
  <c r="S46" i="1"/>
  <c r="S47" i="1"/>
  <c r="R33" i="1"/>
  <c r="O26" i="1"/>
  <c r="O20" i="1"/>
  <c r="O14" i="1"/>
  <c r="O8" i="1"/>
  <c r="O8" i="5"/>
  <c r="O14" i="5"/>
  <c r="O20" i="5"/>
  <c r="O26" i="5"/>
  <c r="R33" i="5"/>
  <c r="S48" i="1"/>
  <c r="R34" i="1"/>
  <c r="O27" i="1"/>
  <c r="O21" i="1"/>
  <c r="O15" i="1"/>
  <c r="O9" i="1"/>
  <c r="O9" i="5"/>
  <c r="O15" i="5"/>
  <c r="O21" i="5"/>
  <c r="O27" i="5"/>
  <c r="R34" i="5"/>
  <c r="S49" i="1"/>
  <c r="R35" i="1"/>
  <c r="O28" i="1"/>
  <c r="O22" i="1"/>
  <c r="O16" i="1"/>
  <c r="O10" i="1"/>
  <c r="O10" i="5"/>
  <c r="O16" i="5"/>
  <c r="O22" i="5"/>
  <c r="O28" i="5"/>
  <c r="R35" i="5"/>
  <c r="S50" i="1"/>
  <c r="R36" i="1"/>
  <c r="O29" i="1"/>
  <c r="O23" i="1"/>
  <c r="O17" i="1"/>
  <c r="O11" i="1"/>
  <c r="O11" i="5"/>
  <c r="O17" i="5"/>
  <c r="O23" i="5"/>
  <c r="O29" i="5"/>
  <c r="R36" i="5"/>
  <c r="S51" i="1"/>
  <c r="R37" i="1"/>
  <c r="O30" i="1"/>
  <c r="O30" i="5"/>
  <c r="R37" i="5"/>
  <c r="R32" i="5"/>
  <c r="B16" i="5"/>
  <c r="G19" i="5"/>
  <c r="H19" i="5"/>
  <c r="I19" i="5"/>
  <c r="J19" i="5"/>
  <c r="K19" i="5"/>
  <c r="L19" i="5"/>
  <c r="M19" i="5"/>
  <c r="N19" i="5"/>
  <c r="O19" i="5"/>
  <c r="T64" i="1"/>
  <c r="T61" i="1"/>
  <c r="T66" i="1"/>
  <c r="T53" i="1"/>
  <c r="T46" i="1"/>
  <c r="T47" i="1"/>
  <c r="S33" i="1"/>
  <c r="P26" i="1"/>
  <c r="P20" i="1"/>
  <c r="P14" i="1"/>
  <c r="P8" i="1"/>
  <c r="P8" i="5"/>
  <c r="P14" i="5"/>
  <c r="P20" i="5"/>
  <c r="T48" i="1"/>
  <c r="S34" i="1"/>
  <c r="P27" i="1"/>
  <c r="P21" i="1"/>
  <c r="P15" i="1"/>
  <c r="P9" i="1"/>
  <c r="P9" i="5"/>
  <c r="P15" i="5"/>
  <c r="P21" i="5"/>
  <c r="T49" i="1"/>
  <c r="S35" i="1"/>
  <c r="P28" i="1"/>
  <c r="P22" i="1"/>
  <c r="P16" i="1"/>
  <c r="P10" i="1"/>
  <c r="P10" i="5"/>
  <c r="P16" i="5"/>
  <c r="P22" i="5"/>
  <c r="T50" i="1"/>
  <c r="S36" i="1"/>
  <c r="P29" i="1"/>
  <c r="P23" i="1"/>
  <c r="P17" i="1"/>
  <c r="P11" i="1"/>
  <c r="P11" i="5"/>
  <c r="P17" i="5"/>
  <c r="P23" i="5"/>
  <c r="P19" i="5"/>
  <c r="U64" i="1"/>
  <c r="U61" i="1"/>
  <c r="U66" i="1"/>
  <c r="U53" i="1"/>
  <c r="U46" i="1"/>
  <c r="U47" i="1"/>
  <c r="T33" i="1"/>
  <c r="Q26" i="1"/>
  <c r="Q20" i="1"/>
  <c r="Q14" i="1"/>
  <c r="Q8" i="1"/>
  <c r="Q8" i="5"/>
  <c r="Q14" i="5"/>
  <c r="Q20" i="5"/>
  <c r="U48" i="1"/>
  <c r="T34" i="1"/>
  <c r="Q27" i="1"/>
  <c r="Q21" i="1"/>
  <c r="Q15" i="1"/>
  <c r="Q9" i="1"/>
  <c r="Q9" i="5"/>
  <c r="Q15" i="5"/>
  <c r="Q21" i="5"/>
  <c r="U49" i="1"/>
  <c r="T35" i="1"/>
  <c r="Q28" i="1"/>
  <c r="Q22" i="1"/>
  <c r="Q16" i="1"/>
  <c r="Q10" i="1"/>
  <c r="Q10" i="5"/>
  <c r="Q16" i="5"/>
  <c r="Q22" i="5"/>
  <c r="U50" i="1"/>
  <c r="T36" i="1"/>
  <c r="Q29" i="1"/>
  <c r="Q23" i="1"/>
  <c r="Q17" i="1"/>
  <c r="Q11" i="1"/>
  <c r="Q11" i="5"/>
  <c r="Q17" i="5"/>
  <c r="Q23" i="5"/>
  <c r="Q19" i="5"/>
  <c r="V64" i="1"/>
  <c r="V61" i="1"/>
  <c r="V66" i="1"/>
  <c r="V53" i="1"/>
  <c r="V46" i="1"/>
  <c r="V47" i="1"/>
  <c r="U33" i="1"/>
  <c r="R26" i="1"/>
  <c r="R20" i="1"/>
  <c r="R14" i="1"/>
  <c r="R8" i="1"/>
  <c r="R8" i="5"/>
  <c r="R14" i="5"/>
  <c r="R20" i="5"/>
  <c r="V48" i="1"/>
  <c r="U34" i="1"/>
  <c r="R27" i="1"/>
  <c r="R21" i="1"/>
  <c r="R15" i="1"/>
  <c r="R9" i="1"/>
  <c r="R9" i="5"/>
  <c r="R15" i="5"/>
  <c r="R21" i="5"/>
  <c r="V49" i="1"/>
  <c r="U35" i="1"/>
  <c r="R28" i="1"/>
  <c r="R22" i="1"/>
  <c r="R16" i="1"/>
  <c r="R10" i="1"/>
  <c r="R10" i="5"/>
  <c r="R16" i="5"/>
  <c r="R22" i="5"/>
  <c r="V50" i="1"/>
  <c r="U36" i="1"/>
  <c r="R29" i="1"/>
  <c r="R23" i="1"/>
  <c r="R17" i="1"/>
  <c r="R11" i="1"/>
  <c r="R11" i="5"/>
  <c r="R17" i="5"/>
  <c r="R23" i="5"/>
  <c r="R19" i="5"/>
  <c r="B15" i="5"/>
  <c r="G13" i="5"/>
  <c r="H13" i="5"/>
  <c r="I13" i="5"/>
  <c r="J13" i="5"/>
  <c r="K13" i="5"/>
  <c r="L13" i="5"/>
  <c r="M13" i="5"/>
  <c r="N13" i="5"/>
  <c r="O13" i="5"/>
  <c r="P13" i="5"/>
  <c r="Q13" i="5"/>
  <c r="R13" i="5"/>
  <c r="B14" i="5"/>
  <c r="G7" i="5"/>
  <c r="H7" i="5"/>
  <c r="I7" i="5"/>
  <c r="J7" i="5"/>
  <c r="K7" i="5"/>
  <c r="L7" i="5"/>
  <c r="M7" i="5"/>
  <c r="N7" i="5"/>
  <c r="O7" i="5"/>
  <c r="P7" i="5"/>
  <c r="Q7" i="5"/>
  <c r="R7" i="5"/>
  <c r="B13" i="5"/>
  <c r="U51" i="1"/>
  <c r="T37" i="1"/>
  <c r="Q30" i="1"/>
  <c r="Q30" i="5"/>
  <c r="T51" i="1"/>
  <c r="S37" i="1"/>
  <c r="P30" i="1"/>
  <c r="P30" i="5"/>
  <c r="Q29" i="5"/>
  <c r="P29" i="5"/>
  <c r="Q28" i="5"/>
  <c r="P28" i="5"/>
  <c r="Q27" i="5"/>
  <c r="P27" i="5"/>
  <c r="Q26" i="5"/>
  <c r="P26" i="5"/>
  <c r="G69" i="1"/>
  <c r="H69" i="1"/>
  <c r="I69" i="1"/>
  <c r="J69" i="1"/>
  <c r="K69" i="1"/>
  <c r="L69" i="1"/>
  <c r="M69" i="1"/>
  <c r="N69" i="1"/>
  <c r="O69" i="1"/>
  <c r="P69" i="1"/>
  <c r="Q69" i="1"/>
  <c r="R69" i="1"/>
  <c r="R82" i="1"/>
  <c r="R78" i="5"/>
  <c r="Q82" i="1"/>
  <c r="Q78" i="5"/>
  <c r="P82" i="1"/>
  <c r="P78" i="5"/>
  <c r="O82" i="1"/>
  <c r="O78" i="5"/>
  <c r="N82" i="1"/>
  <c r="N78" i="5"/>
  <c r="M82" i="1"/>
  <c r="M78" i="5"/>
  <c r="L82" i="1"/>
  <c r="L78" i="5"/>
  <c r="K82" i="1"/>
  <c r="K78" i="5"/>
  <c r="J82" i="1"/>
  <c r="J78" i="5"/>
  <c r="I82" i="1"/>
  <c r="I78" i="5"/>
  <c r="H82" i="1"/>
  <c r="H78" i="5"/>
  <c r="G82" i="1"/>
  <c r="G78" i="5"/>
  <c r="E78" i="5"/>
  <c r="R81" i="1"/>
  <c r="R77" i="5"/>
  <c r="Q81" i="1"/>
  <c r="Q77" i="5"/>
  <c r="P81" i="1"/>
  <c r="P77" i="5"/>
  <c r="O81" i="1"/>
  <c r="O77" i="5"/>
  <c r="N81" i="1"/>
  <c r="N77" i="5"/>
  <c r="M81" i="1"/>
  <c r="M77" i="5"/>
  <c r="L81" i="1"/>
  <c r="L77" i="5"/>
  <c r="K81" i="1"/>
  <c r="K77" i="5"/>
  <c r="J81" i="1"/>
  <c r="J77" i="5"/>
  <c r="I81" i="1"/>
  <c r="I77" i="5"/>
  <c r="H81" i="1"/>
  <c r="H77" i="5"/>
  <c r="G81" i="1"/>
  <c r="G77" i="5"/>
  <c r="E77" i="5"/>
  <c r="R80" i="1"/>
  <c r="R76" i="5"/>
  <c r="Q80" i="1"/>
  <c r="Q76" i="5"/>
  <c r="P80" i="1"/>
  <c r="P76" i="5"/>
  <c r="O80" i="1"/>
  <c r="O76" i="5"/>
  <c r="N80" i="1"/>
  <c r="N76" i="5"/>
  <c r="M80" i="1"/>
  <c r="M76" i="5"/>
  <c r="L80" i="1"/>
  <c r="L76" i="5"/>
  <c r="K80" i="1"/>
  <c r="K76" i="5"/>
  <c r="J80" i="1"/>
  <c r="J76" i="5"/>
  <c r="I80" i="1"/>
  <c r="I76" i="5"/>
  <c r="H80" i="1"/>
  <c r="H76" i="5"/>
  <c r="G80" i="1"/>
  <c r="G76" i="5"/>
  <c r="E76" i="5"/>
  <c r="R79" i="1"/>
  <c r="R75" i="5"/>
  <c r="Q79" i="1"/>
  <c r="Q75" i="5"/>
  <c r="P79" i="1"/>
  <c r="P75" i="5"/>
  <c r="O79" i="1"/>
  <c r="O75" i="5"/>
  <c r="N79" i="1"/>
  <c r="N75" i="5"/>
  <c r="M79" i="1"/>
  <c r="M75" i="5"/>
  <c r="L79" i="1"/>
  <c r="L75" i="5"/>
  <c r="K79" i="1"/>
  <c r="K75" i="5"/>
  <c r="J79" i="1"/>
  <c r="J75" i="5"/>
  <c r="I79" i="1"/>
  <c r="I75" i="5"/>
  <c r="H79" i="1"/>
  <c r="H75" i="5"/>
  <c r="G79" i="1"/>
  <c r="G75" i="5"/>
  <c r="E75" i="5"/>
  <c r="R78" i="1"/>
  <c r="R74" i="5"/>
  <c r="Q78" i="1"/>
  <c r="Q74" i="5"/>
  <c r="P78" i="1"/>
  <c r="P74" i="5"/>
  <c r="O78" i="1"/>
  <c r="O74" i="5"/>
  <c r="N78" i="1"/>
  <c r="N74" i="5"/>
  <c r="M78" i="1"/>
  <c r="M74" i="5"/>
  <c r="L78" i="1"/>
  <c r="L74" i="5"/>
  <c r="K78" i="1"/>
  <c r="K74" i="5"/>
  <c r="J78" i="1"/>
  <c r="J74" i="5"/>
  <c r="I78" i="1"/>
  <c r="I74" i="5"/>
  <c r="H78" i="1"/>
  <c r="H74" i="5"/>
  <c r="G78" i="1"/>
  <c r="G74" i="5"/>
  <c r="E74" i="5"/>
  <c r="E73" i="5"/>
  <c r="R74" i="1"/>
  <c r="R70" i="5"/>
  <c r="Q74" i="1"/>
  <c r="Q70" i="5"/>
  <c r="P74" i="1"/>
  <c r="P70" i="5"/>
  <c r="O74" i="1"/>
  <c r="O70" i="5"/>
  <c r="N74" i="1"/>
  <c r="N70" i="5"/>
  <c r="M74" i="1"/>
  <c r="M70" i="5"/>
  <c r="L74" i="1"/>
  <c r="L70" i="5"/>
  <c r="K74" i="1"/>
  <c r="K70" i="5"/>
  <c r="J74" i="1"/>
  <c r="J70" i="5"/>
  <c r="I74" i="1"/>
  <c r="I70" i="5"/>
  <c r="H74" i="1"/>
  <c r="H70" i="5"/>
  <c r="G74" i="1"/>
  <c r="G70" i="5"/>
  <c r="E70" i="5"/>
  <c r="R73" i="1"/>
  <c r="R69" i="5"/>
  <c r="Q73" i="1"/>
  <c r="Q69" i="5"/>
  <c r="P73" i="1"/>
  <c r="P69" i="5"/>
  <c r="O73" i="1"/>
  <c r="O69" i="5"/>
  <c r="N73" i="1"/>
  <c r="N69" i="5"/>
  <c r="M73" i="1"/>
  <c r="M69" i="5"/>
  <c r="L73" i="1"/>
  <c r="L69" i="5"/>
  <c r="K73" i="1"/>
  <c r="K69" i="5"/>
  <c r="J73" i="1"/>
  <c r="J69" i="5"/>
  <c r="I73" i="1"/>
  <c r="I69" i="5"/>
  <c r="H73" i="1"/>
  <c r="H69" i="5"/>
  <c r="G73" i="1"/>
  <c r="G69" i="5"/>
  <c r="E69" i="5"/>
  <c r="R72" i="1"/>
  <c r="R68" i="5"/>
  <c r="Q72" i="1"/>
  <c r="Q68" i="5"/>
  <c r="P72" i="1"/>
  <c r="P68" i="5"/>
  <c r="O72" i="1"/>
  <c r="O68" i="5"/>
  <c r="N72" i="1"/>
  <c r="N68" i="5"/>
  <c r="M72" i="1"/>
  <c r="M68" i="5"/>
  <c r="L72" i="1"/>
  <c r="L68" i="5"/>
  <c r="K72" i="1"/>
  <c r="K68" i="5"/>
  <c r="J72" i="1"/>
  <c r="J68" i="5"/>
  <c r="I72" i="1"/>
  <c r="I68" i="5"/>
  <c r="H72" i="1"/>
  <c r="H68" i="5"/>
  <c r="G72" i="1"/>
  <c r="G68" i="5"/>
  <c r="E68" i="5"/>
  <c r="R71" i="1"/>
  <c r="R67" i="5"/>
  <c r="Q71" i="1"/>
  <c r="Q67" i="5"/>
  <c r="P71" i="1"/>
  <c r="P67" i="5"/>
  <c r="O71" i="1"/>
  <c r="O67" i="5"/>
  <c r="N71" i="1"/>
  <c r="N67" i="5"/>
  <c r="M71" i="1"/>
  <c r="M67" i="5"/>
  <c r="L71" i="1"/>
  <c r="L67" i="5"/>
  <c r="K71" i="1"/>
  <c r="K67" i="5"/>
  <c r="J71" i="1"/>
  <c r="J67" i="5"/>
  <c r="I71" i="1"/>
  <c r="I67" i="5"/>
  <c r="H71" i="1"/>
  <c r="H67" i="5"/>
  <c r="G71" i="1"/>
  <c r="G67" i="5"/>
  <c r="E67" i="5"/>
  <c r="R70" i="1"/>
  <c r="R66" i="5"/>
  <c r="Q70" i="1"/>
  <c r="Q66" i="5"/>
  <c r="P70" i="1"/>
  <c r="P66" i="5"/>
  <c r="O70" i="1"/>
  <c r="O66" i="5"/>
  <c r="N70" i="1"/>
  <c r="N66" i="5"/>
  <c r="M70" i="1"/>
  <c r="M66" i="5"/>
  <c r="L70" i="1"/>
  <c r="L66" i="5"/>
  <c r="K70" i="1"/>
  <c r="K66" i="5"/>
  <c r="J70" i="1"/>
  <c r="J66" i="5"/>
  <c r="I70" i="1"/>
  <c r="I66" i="5"/>
  <c r="H70" i="1"/>
  <c r="H66" i="5"/>
  <c r="G70" i="1"/>
  <c r="G66" i="5"/>
  <c r="E66" i="5"/>
  <c r="E65" i="5"/>
  <c r="E64" i="5"/>
  <c r="AD40" i="1"/>
  <c r="AD41" i="1"/>
  <c r="AD42" i="1"/>
  <c r="AD43" i="1"/>
  <c r="AD44" i="1"/>
  <c r="AD39" i="1"/>
  <c r="AD32" i="1"/>
  <c r="AD25" i="1"/>
  <c r="AD30" i="1"/>
  <c r="AD30" i="5"/>
  <c r="AC25" i="1"/>
  <c r="AC30" i="1"/>
  <c r="AC30" i="5"/>
  <c r="AA25" i="1"/>
  <c r="AA30" i="1"/>
  <c r="AA30" i="5"/>
  <c r="AD37" i="5"/>
  <c r="W64" i="1"/>
  <c r="X64" i="1"/>
  <c r="Y64" i="1"/>
  <c r="Z64" i="1"/>
  <c r="AA64" i="1"/>
  <c r="AB64" i="1"/>
  <c r="AC64" i="1"/>
  <c r="AD64" i="1"/>
  <c r="AD61" i="1"/>
  <c r="AD66" i="1"/>
  <c r="AD53" i="1"/>
  <c r="AD54" i="1"/>
  <c r="AC40" i="1"/>
  <c r="AD55" i="1"/>
  <c r="AC41" i="1"/>
  <c r="AD56" i="1"/>
  <c r="AC42" i="1"/>
  <c r="AD57" i="1"/>
  <c r="AC43" i="1"/>
  <c r="AD58" i="1"/>
  <c r="AC44" i="1"/>
  <c r="AC39" i="1"/>
  <c r="AC32" i="1"/>
  <c r="AB25" i="1"/>
  <c r="AB30" i="1"/>
  <c r="AB30" i="5"/>
  <c r="Z25" i="1"/>
  <c r="Z30" i="1"/>
  <c r="Z30" i="5"/>
  <c r="AC37" i="5"/>
  <c r="AD51" i="5"/>
  <c r="AD58" i="5"/>
  <c r="AC61" i="1"/>
  <c r="AC66" i="1"/>
  <c r="AC53" i="1"/>
  <c r="AC54" i="1"/>
  <c r="AB40" i="1"/>
  <c r="AC55" i="1"/>
  <c r="AB41" i="1"/>
  <c r="AC56" i="1"/>
  <c r="AB42" i="1"/>
  <c r="AC57" i="1"/>
  <c r="AB43" i="1"/>
  <c r="AC58" i="1"/>
  <c r="AB44" i="1"/>
  <c r="AB39" i="1"/>
  <c r="AB32" i="1"/>
  <c r="Y25" i="1"/>
  <c r="Y30" i="1"/>
  <c r="Y30" i="5"/>
  <c r="AB37" i="5"/>
  <c r="AC51" i="5"/>
  <c r="AC58" i="5"/>
  <c r="AB61" i="1"/>
  <c r="AB66" i="1"/>
  <c r="AB53" i="1"/>
  <c r="AB54" i="1"/>
  <c r="AA40" i="1"/>
  <c r="AB55" i="1"/>
  <c r="AA41" i="1"/>
  <c r="AB56" i="1"/>
  <c r="AA42" i="1"/>
  <c r="AB57" i="1"/>
  <c r="AA43" i="1"/>
  <c r="AB58" i="1"/>
  <c r="AA44" i="1"/>
  <c r="AA39" i="1"/>
  <c r="AA32" i="1"/>
  <c r="X25" i="1"/>
  <c r="X30" i="1"/>
  <c r="X30" i="5"/>
  <c r="AA37" i="5"/>
  <c r="AB51" i="5"/>
  <c r="AB58" i="5"/>
  <c r="AA61" i="1"/>
  <c r="AA66" i="1"/>
  <c r="AA53" i="1"/>
  <c r="AA54" i="1"/>
  <c r="Z40" i="1"/>
  <c r="AA55" i="1"/>
  <c r="Z41" i="1"/>
  <c r="AA56" i="1"/>
  <c r="Z42" i="1"/>
  <c r="AA57" i="1"/>
  <c r="Z43" i="1"/>
  <c r="AA58" i="1"/>
  <c r="Z44" i="1"/>
  <c r="Z39" i="1"/>
  <c r="Z32" i="1"/>
  <c r="W25" i="1"/>
  <c r="W30" i="1"/>
  <c r="W30" i="5"/>
  <c r="Z37" i="5"/>
  <c r="AA51" i="5"/>
  <c r="AA58" i="5"/>
  <c r="Z61" i="1"/>
  <c r="Z66" i="1"/>
  <c r="Z53" i="1"/>
  <c r="Z54" i="1"/>
  <c r="Y40" i="1"/>
  <c r="Z55" i="1"/>
  <c r="Y41" i="1"/>
  <c r="Z56" i="1"/>
  <c r="Y42" i="1"/>
  <c r="Z57" i="1"/>
  <c r="Y43" i="1"/>
  <c r="Z58" i="1"/>
  <c r="Y44" i="1"/>
  <c r="Y39" i="1"/>
  <c r="Y32" i="1"/>
  <c r="V25" i="1"/>
  <c r="V30" i="1"/>
  <c r="V30" i="5"/>
  <c r="Y37" i="5"/>
  <c r="Z51" i="5"/>
  <c r="Z58" i="5"/>
  <c r="Y61" i="1"/>
  <c r="Y66" i="1"/>
  <c r="Y53" i="1"/>
  <c r="Y54" i="1"/>
  <c r="X40" i="1"/>
  <c r="Y55" i="1"/>
  <c r="X41" i="1"/>
  <c r="Y56" i="1"/>
  <c r="X42" i="1"/>
  <c r="Y57" i="1"/>
  <c r="X43" i="1"/>
  <c r="Y58" i="1"/>
  <c r="X44" i="1"/>
  <c r="X39" i="1"/>
  <c r="X32" i="1"/>
  <c r="U25" i="1"/>
  <c r="U30" i="1"/>
  <c r="U30" i="5"/>
  <c r="X37" i="5"/>
  <c r="Y51" i="5"/>
  <c r="Y58" i="5"/>
  <c r="X61" i="1"/>
  <c r="X66" i="1"/>
  <c r="X53" i="1"/>
  <c r="X54" i="1"/>
  <c r="W40" i="1"/>
  <c r="X55" i="1"/>
  <c r="W41" i="1"/>
  <c r="X56" i="1"/>
  <c r="W42" i="1"/>
  <c r="X57" i="1"/>
  <c r="W43" i="1"/>
  <c r="X58" i="1"/>
  <c r="W44" i="1"/>
  <c r="W39" i="1"/>
  <c r="W32" i="1"/>
  <c r="T25" i="1"/>
  <c r="T30" i="1"/>
  <c r="T30" i="5"/>
  <c r="W37" i="5"/>
  <c r="X51" i="5"/>
  <c r="X58" i="5"/>
  <c r="W61" i="1"/>
  <c r="W66" i="1"/>
  <c r="W53" i="1"/>
  <c r="W54" i="1"/>
  <c r="V40" i="1"/>
  <c r="W55" i="1"/>
  <c r="V41" i="1"/>
  <c r="W56" i="1"/>
  <c r="V42" i="1"/>
  <c r="W57" i="1"/>
  <c r="V43" i="1"/>
  <c r="W58" i="1"/>
  <c r="V44" i="1"/>
  <c r="V39" i="1"/>
  <c r="V32" i="1"/>
  <c r="S25" i="1"/>
  <c r="S30" i="1"/>
  <c r="S30" i="5"/>
  <c r="V37" i="5"/>
  <c r="W51" i="5"/>
  <c r="W58" i="5"/>
  <c r="V54" i="1"/>
  <c r="U40" i="1"/>
  <c r="V55" i="1"/>
  <c r="U41" i="1"/>
  <c r="V56" i="1"/>
  <c r="U42" i="1"/>
  <c r="V57" i="1"/>
  <c r="U43" i="1"/>
  <c r="V58" i="1"/>
  <c r="U44" i="1"/>
  <c r="U39" i="1"/>
  <c r="U32" i="1"/>
  <c r="V51" i="1"/>
  <c r="U37" i="1"/>
  <c r="R30" i="1"/>
  <c r="R30" i="5"/>
  <c r="U37" i="5"/>
  <c r="V51" i="5"/>
  <c r="V58" i="5"/>
  <c r="U54" i="1"/>
  <c r="T40" i="1"/>
  <c r="U55" i="1"/>
  <c r="T41" i="1"/>
  <c r="U56" i="1"/>
  <c r="T42" i="1"/>
  <c r="U57" i="1"/>
  <c r="T43" i="1"/>
  <c r="U58" i="1"/>
  <c r="T44" i="1"/>
  <c r="T39" i="1"/>
  <c r="T32" i="1"/>
  <c r="T37" i="5"/>
  <c r="U51" i="5"/>
  <c r="U58" i="5"/>
  <c r="T54" i="1"/>
  <c r="S40" i="1"/>
  <c r="T55" i="1"/>
  <c r="S41" i="1"/>
  <c r="T56" i="1"/>
  <c r="S42" i="1"/>
  <c r="T57" i="1"/>
  <c r="S43" i="1"/>
  <c r="T58" i="1"/>
  <c r="S44" i="1"/>
  <c r="S39" i="1"/>
  <c r="S32" i="1"/>
  <c r="S37" i="5"/>
  <c r="T51" i="5"/>
  <c r="T58" i="5"/>
  <c r="S51" i="5"/>
  <c r="S58" i="5"/>
  <c r="R58" i="5"/>
  <c r="Q58" i="5"/>
  <c r="P58" i="5"/>
  <c r="O58" i="5"/>
  <c r="N58" i="5"/>
  <c r="M58" i="5"/>
  <c r="L58" i="5"/>
  <c r="K58" i="5"/>
  <c r="J58" i="5"/>
  <c r="I58" i="5"/>
  <c r="H58" i="5"/>
  <c r="G58" i="5"/>
  <c r="AD29" i="1"/>
  <c r="AD23" i="1"/>
  <c r="AD17" i="1"/>
  <c r="AD11" i="1"/>
  <c r="AD11" i="5"/>
  <c r="AD17" i="5"/>
  <c r="AD23" i="5"/>
  <c r="AD29" i="5"/>
  <c r="AC29" i="1"/>
  <c r="AC23" i="1"/>
  <c r="AC17" i="1"/>
  <c r="AC11" i="1"/>
  <c r="AC11" i="5"/>
  <c r="AC17" i="5"/>
  <c r="AC23" i="5"/>
  <c r="AC29" i="5"/>
  <c r="AA29" i="1"/>
  <c r="AA23" i="1"/>
  <c r="AA17" i="1"/>
  <c r="AA11" i="1"/>
  <c r="AA11" i="5"/>
  <c r="AA17" i="5"/>
  <c r="AA23" i="5"/>
  <c r="AA29" i="5"/>
  <c r="AD36" i="5"/>
  <c r="AB29" i="1"/>
  <c r="AB23" i="1"/>
  <c r="AB17" i="1"/>
  <c r="AB11" i="1"/>
  <c r="AB11" i="5"/>
  <c r="AB17" i="5"/>
  <c r="AB23" i="5"/>
  <c r="AB29" i="5"/>
  <c r="Z29" i="1"/>
  <c r="Z23" i="1"/>
  <c r="Z17" i="1"/>
  <c r="Z11" i="1"/>
  <c r="Z11" i="5"/>
  <c r="Z17" i="5"/>
  <c r="Z23" i="5"/>
  <c r="Z29" i="5"/>
  <c r="AC36" i="5"/>
  <c r="AD50" i="5"/>
  <c r="AD57" i="5"/>
  <c r="Y29" i="1"/>
  <c r="Y23" i="1"/>
  <c r="Y17" i="1"/>
  <c r="Y11" i="1"/>
  <c r="Y11" i="5"/>
  <c r="Y17" i="5"/>
  <c r="Y23" i="5"/>
  <c r="Y29" i="5"/>
  <c r="AB36" i="5"/>
  <c r="AC50" i="5"/>
  <c r="AC57" i="5"/>
  <c r="X29" i="1"/>
  <c r="X23" i="1"/>
  <c r="X17" i="1"/>
  <c r="X11" i="1"/>
  <c r="X11" i="5"/>
  <c r="X17" i="5"/>
  <c r="X23" i="5"/>
  <c r="X29" i="5"/>
  <c r="AA36" i="5"/>
  <c r="AB50" i="5"/>
  <c r="AB57" i="5"/>
  <c r="W29" i="1"/>
  <c r="W23" i="1"/>
  <c r="W17" i="1"/>
  <c r="W11" i="1"/>
  <c r="W11" i="5"/>
  <c r="W17" i="5"/>
  <c r="W23" i="5"/>
  <c r="W29" i="5"/>
  <c r="Z36" i="5"/>
  <c r="AA50" i="5"/>
  <c r="AA57" i="5"/>
  <c r="V29" i="1"/>
  <c r="V23" i="1"/>
  <c r="V17" i="1"/>
  <c r="V11" i="1"/>
  <c r="V11" i="5"/>
  <c r="V17" i="5"/>
  <c r="V23" i="5"/>
  <c r="V29" i="5"/>
  <c r="Y36" i="5"/>
  <c r="Z50" i="5"/>
  <c r="Z57" i="5"/>
  <c r="U29" i="1"/>
  <c r="U23" i="1"/>
  <c r="U17" i="1"/>
  <c r="U11" i="1"/>
  <c r="U11" i="5"/>
  <c r="U17" i="5"/>
  <c r="U23" i="5"/>
  <c r="U29" i="5"/>
  <c r="X36" i="5"/>
  <c r="Y50" i="5"/>
  <c r="Y57" i="5"/>
  <c r="T29" i="1"/>
  <c r="T23" i="1"/>
  <c r="T17" i="1"/>
  <c r="T11" i="1"/>
  <c r="T11" i="5"/>
  <c r="T17" i="5"/>
  <c r="T23" i="5"/>
  <c r="T29" i="5"/>
  <c r="W36" i="5"/>
  <c r="X50" i="5"/>
  <c r="X57" i="5"/>
  <c r="S29" i="1"/>
  <c r="S23" i="1"/>
  <c r="S17" i="1"/>
  <c r="S11" i="1"/>
  <c r="S11" i="5"/>
  <c r="S17" i="5"/>
  <c r="S23" i="5"/>
  <c r="S29" i="5"/>
  <c r="V36" i="5"/>
  <c r="W50" i="5"/>
  <c r="W57" i="5"/>
  <c r="R29" i="5"/>
  <c r="U36" i="5"/>
  <c r="V50" i="5"/>
  <c r="V57" i="5"/>
  <c r="T36" i="5"/>
  <c r="U50" i="5"/>
  <c r="U57" i="5"/>
  <c r="S36" i="5"/>
  <c r="T50" i="5"/>
  <c r="T57" i="5"/>
  <c r="S50" i="5"/>
  <c r="S57" i="5"/>
  <c r="R57" i="5"/>
  <c r="Q57" i="5"/>
  <c r="P57" i="5"/>
  <c r="O57" i="5"/>
  <c r="N57" i="5"/>
  <c r="M57" i="5"/>
  <c r="L57" i="5"/>
  <c r="K57" i="5"/>
  <c r="J57" i="5"/>
  <c r="I57" i="5"/>
  <c r="H57" i="5"/>
  <c r="G57" i="5"/>
  <c r="AD28" i="1"/>
  <c r="AD22" i="1"/>
  <c r="AD16" i="1"/>
  <c r="AD10" i="1"/>
  <c r="AD10" i="5"/>
  <c r="AD16" i="5"/>
  <c r="AD22" i="5"/>
  <c r="AD28" i="5"/>
  <c r="AC28" i="1"/>
  <c r="AC22" i="1"/>
  <c r="AC16" i="1"/>
  <c r="AC10" i="1"/>
  <c r="AC10" i="5"/>
  <c r="AC16" i="5"/>
  <c r="AC22" i="5"/>
  <c r="AC28" i="5"/>
  <c r="AA28" i="1"/>
  <c r="AA22" i="1"/>
  <c r="AA16" i="1"/>
  <c r="AA10" i="1"/>
  <c r="AA10" i="5"/>
  <c r="AA16" i="5"/>
  <c r="AA22" i="5"/>
  <c r="AA28" i="5"/>
  <c r="AD35" i="5"/>
  <c r="AB28" i="1"/>
  <c r="AB22" i="1"/>
  <c r="AB16" i="1"/>
  <c r="AB10" i="1"/>
  <c r="AB10" i="5"/>
  <c r="AB16" i="5"/>
  <c r="AB22" i="5"/>
  <c r="AB28" i="5"/>
  <c r="Z28" i="1"/>
  <c r="Z22" i="1"/>
  <c r="Z16" i="1"/>
  <c r="Z10" i="1"/>
  <c r="Z10" i="5"/>
  <c r="Z16" i="5"/>
  <c r="Z22" i="5"/>
  <c r="Z28" i="5"/>
  <c r="AC35" i="5"/>
  <c r="AD49" i="5"/>
  <c r="AD56" i="5"/>
  <c r="Y28" i="1"/>
  <c r="Y22" i="1"/>
  <c r="Y16" i="1"/>
  <c r="Y10" i="1"/>
  <c r="Y10" i="5"/>
  <c r="Y16" i="5"/>
  <c r="Y22" i="5"/>
  <c r="Y28" i="5"/>
  <c r="AB35" i="5"/>
  <c r="AC49" i="5"/>
  <c r="AC56" i="5"/>
  <c r="X28" i="1"/>
  <c r="X22" i="1"/>
  <c r="X16" i="1"/>
  <c r="X10" i="1"/>
  <c r="X10" i="5"/>
  <c r="X16" i="5"/>
  <c r="X22" i="5"/>
  <c r="X28" i="5"/>
  <c r="AA35" i="5"/>
  <c r="AB49" i="5"/>
  <c r="AB56" i="5"/>
  <c r="W28" i="1"/>
  <c r="W22" i="1"/>
  <c r="W16" i="1"/>
  <c r="W10" i="1"/>
  <c r="W10" i="5"/>
  <c r="W16" i="5"/>
  <c r="W22" i="5"/>
  <c r="W28" i="5"/>
  <c r="Z35" i="5"/>
  <c r="AA49" i="5"/>
  <c r="AA56" i="5"/>
  <c r="V28" i="1"/>
  <c r="V22" i="1"/>
  <c r="V16" i="1"/>
  <c r="V10" i="1"/>
  <c r="V10" i="5"/>
  <c r="V16" i="5"/>
  <c r="V22" i="5"/>
  <c r="V28" i="5"/>
  <c r="Y35" i="5"/>
  <c r="Z49" i="5"/>
  <c r="Z56" i="5"/>
  <c r="U28" i="1"/>
  <c r="U22" i="1"/>
  <c r="U16" i="1"/>
  <c r="U10" i="1"/>
  <c r="U10" i="5"/>
  <c r="U16" i="5"/>
  <c r="U22" i="5"/>
  <c r="U28" i="5"/>
  <c r="X35" i="5"/>
  <c r="Y49" i="5"/>
  <c r="Y56" i="5"/>
  <c r="T28" i="1"/>
  <c r="T22" i="1"/>
  <c r="T16" i="1"/>
  <c r="T10" i="1"/>
  <c r="T10" i="5"/>
  <c r="T16" i="5"/>
  <c r="T22" i="5"/>
  <c r="T28" i="5"/>
  <c r="W35" i="5"/>
  <c r="X49" i="5"/>
  <c r="X56" i="5"/>
  <c r="S28" i="1"/>
  <c r="S22" i="1"/>
  <c r="S16" i="1"/>
  <c r="S10" i="1"/>
  <c r="S10" i="5"/>
  <c r="S16" i="5"/>
  <c r="S22" i="5"/>
  <c r="S28" i="5"/>
  <c r="V35" i="5"/>
  <c r="W49" i="5"/>
  <c r="W56" i="5"/>
  <c r="R28" i="5"/>
  <c r="U35" i="5"/>
  <c r="V49" i="5"/>
  <c r="V56" i="5"/>
  <c r="T35" i="5"/>
  <c r="U49" i="5"/>
  <c r="U56" i="5"/>
  <c r="S35" i="5"/>
  <c r="T49" i="5"/>
  <c r="T56" i="5"/>
  <c r="S49" i="5"/>
  <c r="S56" i="5"/>
  <c r="R56" i="5"/>
  <c r="Q56" i="5"/>
  <c r="P56" i="5"/>
  <c r="O56" i="5"/>
  <c r="N56" i="5"/>
  <c r="M56" i="5"/>
  <c r="L56" i="5"/>
  <c r="K56" i="5"/>
  <c r="J56" i="5"/>
  <c r="I56" i="5"/>
  <c r="H56" i="5"/>
  <c r="G56" i="5"/>
  <c r="AD27" i="1"/>
  <c r="AD21" i="1"/>
  <c r="AD15" i="1"/>
  <c r="AD9" i="1"/>
  <c r="AD9" i="5"/>
  <c r="AD15" i="5"/>
  <c r="AD21" i="5"/>
  <c r="AD27" i="5"/>
  <c r="AC27" i="1"/>
  <c r="AC21" i="1"/>
  <c r="AC15" i="1"/>
  <c r="AC9" i="1"/>
  <c r="AC9" i="5"/>
  <c r="AC15" i="5"/>
  <c r="AC21" i="5"/>
  <c r="AC27" i="5"/>
  <c r="AA27" i="1"/>
  <c r="AA21" i="1"/>
  <c r="AA15" i="1"/>
  <c r="AA9" i="1"/>
  <c r="AA9" i="5"/>
  <c r="AA15" i="5"/>
  <c r="AA21" i="5"/>
  <c r="AA27" i="5"/>
  <c r="AD34" i="5"/>
  <c r="AB27" i="1"/>
  <c r="AB21" i="1"/>
  <c r="AB15" i="1"/>
  <c r="AB9" i="1"/>
  <c r="AB9" i="5"/>
  <c r="AB15" i="5"/>
  <c r="AB21" i="5"/>
  <c r="AB27" i="5"/>
  <c r="Z27" i="1"/>
  <c r="Z21" i="1"/>
  <c r="Z15" i="1"/>
  <c r="Z9" i="1"/>
  <c r="Z9" i="5"/>
  <c r="Z15" i="5"/>
  <c r="Z21" i="5"/>
  <c r="Z27" i="5"/>
  <c r="AC34" i="5"/>
  <c r="AD48" i="5"/>
  <c r="AD55" i="5"/>
  <c r="Y27" i="1"/>
  <c r="Y21" i="1"/>
  <c r="Y15" i="1"/>
  <c r="Y9" i="1"/>
  <c r="Y9" i="5"/>
  <c r="Y15" i="5"/>
  <c r="Y21" i="5"/>
  <c r="Y27" i="5"/>
  <c r="AB34" i="5"/>
  <c r="AC48" i="5"/>
  <c r="AC55" i="5"/>
  <c r="X27" i="1"/>
  <c r="X21" i="1"/>
  <c r="X15" i="1"/>
  <c r="X9" i="1"/>
  <c r="X9" i="5"/>
  <c r="X15" i="5"/>
  <c r="X21" i="5"/>
  <c r="X27" i="5"/>
  <c r="AA34" i="5"/>
  <c r="AB48" i="5"/>
  <c r="AB55" i="5"/>
  <c r="W27" i="1"/>
  <c r="W21" i="1"/>
  <c r="W15" i="1"/>
  <c r="W9" i="1"/>
  <c r="W9" i="5"/>
  <c r="W15" i="5"/>
  <c r="W21" i="5"/>
  <c r="W27" i="5"/>
  <c r="Z34" i="5"/>
  <c r="AA48" i="5"/>
  <c r="AA55" i="5"/>
  <c r="V27" i="1"/>
  <c r="V21" i="1"/>
  <c r="V15" i="1"/>
  <c r="V9" i="1"/>
  <c r="V9" i="5"/>
  <c r="V15" i="5"/>
  <c r="V21" i="5"/>
  <c r="V27" i="5"/>
  <c r="Y34" i="5"/>
  <c r="Z48" i="5"/>
  <c r="Z55" i="5"/>
  <c r="U27" i="1"/>
  <c r="U21" i="1"/>
  <c r="U15" i="1"/>
  <c r="U9" i="1"/>
  <c r="U9" i="5"/>
  <c r="U15" i="5"/>
  <c r="U21" i="5"/>
  <c r="U27" i="5"/>
  <c r="X34" i="5"/>
  <c r="Y48" i="5"/>
  <c r="Y55" i="5"/>
  <c r="T27" i="1"/>
  <c r="T21" i="1"/>
  <c r="T15" i="1"/>
  <c r="T9" i="1"/>
  <c r="T9" i="5"/>
  <c r="T15" i="5"/>
  <c r="T21" i="5"/>
  <c r="T27" i="5"/>
  <c r="W34" i="5"/>
  <c r="X48" i="5"/>
  <c r="X55" i="5"/>
  <c r="S27" i="1"/>
  <c r="S21" i="1"/>
  <c r="S15" i="1"/>
  <c r="S9" i="1"/>
  <c r="S9" i="5"/>
  <c r="S15" i="5"/>
  <c r="S21" i="5"/>
  <c r="S27" i="5"/>
  <c r="V34" i="5"/>
  <c r="W48" i="5"/>
  <c r="W55" i="5"/>
  <c r="R27" i="5"/>
  <c r="U34" i="5"/>
  <c r="V48" i="5"/>
  <c r="V55" i="5"/>
  <c r="T34" i="5"/>
  <c r="U48" i="5"/>
  <c r="U55" i="5"/>
  <c r="S34" i="5"/>
  <c r="T48" i="5"/>
  <c r="T55" i="5"/>
  <c r="S48" i="5"/>
  <c r="S55" i="5"/>
  <c r="R55" i="5"/>
  <c r="Q55" i="5"/>
  <c r="P55" i="5"/>
  <c r="O55" i="5"/>
  <c r="N55" i="5"/>
  <c r="M55" i="5"/>
  <c r="L55" i="5"/>
  <c r="K55" i="5"/>
  <c r="J55" i="5"/>
  <c r="I55" i="5"/>
  <c r="H55" i="5"/>
  <c r="G55" i="5"/>
  <c r="AD26" i="1"/>
  <c r="AD20" i="1"/>
  <c r="AD14" i="1"/>
  <c r="AD8" i="1"/>
  <c r="AD8" i="5"/>
  <c r="AD14" i="5"/>
  <c r="AD20" i="5"/>
  <c r="AD26" i="5"/>
  <c r="AC26" i="1"/>
  <c r="AC20" i="1"/>
  <c r="AC14" i="1"/>
  <c r="AC8" i="1"/>
  <c r="AC8" i="5"/>
  <c r="AC14" i="5"/>
  <c r="AC20" i="5"/>
  <c r="AC26" i="5"/>
  <c r="AA26" i="1"/>
  <c r="AA20" i="1"/>
  <c r="AA14" i="1"/>
  <c r="AA8" i="1"/>
  <c r="AA8" i="5"/>
  <c r="AA14" i="5"/>
  <c r="AA20" i="5"/>
  <c r="AA26" i="5"/>
  <c r="AD33" i="5"/>
  <c r="AB26" i="1"/>
  <c r="AB20" i="1"/>
  <c r="AB14" i="1"/>
  <c r="AB8" i="1"/>
  <c r="AB8" i="5"/>
  <c r="AB14" i="5"/>
  <c r="AB20" i="5"/>
  <c r="AB26" i="5"/>
  <c r="Z26" i="1"/>
  <c r="Z20" i="1"/>
  <c r="Z14" i="1"/>
  <c r="Z8" i="1"/>
  <c r="Z8" i="5"/>
  <c r="Z14" i="5"/>
  <c r="Z20" i="5"/>
  <c r="Z26" i="5"/>
  <c r="AC33" i="5"/>
  <c r="AD47" i="5"/>
  <c r="AD54" i="5"/>
  <c r="Y26" i="1"/>
  <c r="Y20" i="1"/>
  <c r="Y14" i="1"/>
  <c r="Y8" i="1"/>
  <c r="Y8" i="5"/>
  <c r="Y14" i="5"/>
  <c r="Y20" i="5"/>
  <c r="Y26" i="5"/>
  <c r="AB33" i="5"/>
  <c r="AC47" i="5"/>
  <c r="AC54" i="5"/>
  <c r="X26" i="1"/>
  <c r="X20" i="1"/>
  <c r="X14" i="1"/>
  <c r="X8" i="1"/>
  <c r="X8" i="5"/>
  <c r="X14" i="5"/>
  <c r="X20" i="5"/>
  <c r="X26" i="5"/>
  <c r="AA33" i="5"/>
  <c r="AB47" i="5"/>
  <c r="AB54" i="5"/>
  <c r="W26" i="1"/>
  <c r="W20" i="1"/>
  <c r="W14" i="1"/>
  <c r="W8" i="1"/>
  <c r="W8" i="5"/>
  <c r="W14" i="5"/>
  <c r="W20" i="5"/>
  <c r="W26" i="5"/>
  <c r="Z33" i="5"/>
  <c r="AA47" i="5"/>
  <c r="AA54" i="5"/>
  <c r="V26" i="1"/>
  <c r="V20" i="1"/>
  <c r="V14" i="1"/>
  <c r="V8" i="1"/>
  <c r="V8" i="5"/>
  <c r="V14" i="5"/>
  <c r="V20" i="5"/>
  <c r="V26" i="5"/>
  <c r="Y33" i="5"/>
  <c r="Z47" i="5"/>
  <c r="Z54" i="5"/>
  <c r="U26" i="1"/>
  <c r="U20" i="1"/>
  <c r="U14" i="1"/>
  <c r="U8" i="1"/>
  <c r="U8" i="5"/>
  <c r="U14" i="5"/>
  <c r="U20" i="5"/>
  <c r="U26" i="5"/>
  <c r="X33" i="5"/>
  <c r="Y47" i="5"/>
  <c r="Y54" i="5"/>
  <c r="T26" i="1"/>
  <c r="T20" i="1"/>
  <c r="T14" i="1"/>
  <c r="T8" i="1"/>
  <c r="T8" i="5"/>
  <c r="T14" i="5"/>
  <c r="T20" i="5"/>
  <c r="T26" i="5"/>
  <c r="W33" i="5"/>
  <c r="X47" i="5"/>
  <c r="X54" i="5"/>
  <c r="S26" i="1"/>
  <c r="S20" i="1"/>
  <c r="S14" i="1"/>
  <c r="S8" i="1"/>
  <c r="S8" i="5"/>
  <c r="S14" i="5"/>
  <c r="S20" i="5"/>
  <c r="S26" i="5"/>
  <c r="V33" i="5"/>
  <c r="W47" i="5"/>
  <c r="W54" i="5"/>
  <c r="R26" i="5"/>
  <c r="U33" i="5"/>
  <c r="V47" i="5"/>
  <c r="V54" i="5"/>
  <c r="T33" i="5"/>
  <c r="U47" i="5"/>
  <c r="U54" i="5"/>
  <c r="S33" i="5"/>
  <c r="T47" i="5"/>
  <c r="T54" i="5"/>
  <c r="S47" i="5"/>
  <c r="S54" i="5"/>
  <c r="R54" i="5"/>
  <c r="Q54" i="5"/>
  <c r="P54" i="5"/>
  <c r="O54" i="5"/>
  <c r="N54" i="5"/>
  <c r="M54" i="5"/>
  <c r="L54" i="5"/>
  <c r="K54" i="5"/>
  <c r="J54" i="5"/>
  <c r="I54" i="5"/>
  <c r="H54" i="5"/>
  <c r="G54" i="5"/>
  <c r="Y19" i="1"/>
  <c r="X19" i="1"/>
  <c r="W19" i="1"/>
  <c r="V19" i="1"/>
  <c r="U19" i="1"/>
  <c r="T19" i="1"/>
  <c r="S19" i="1"/>
  <c r="R19" i="1"/>
  <c r="Q19" i="1"/>
  <c r="P19" i="1"/>
  <c r="O19" i="1"/>
  <c r="N19" i="1"/>
  <c r="M19" i="1"/>
  <c r="L19" i="1"/>
  <c r="K19" i="1"/>
  <c r="J19" i="1"/>
  <c r="I19" i="1"/>
  <c r="H19" i="1"/>
  <c r="G19" i="1"/>
  <c r="G13" i="1"/>
  <c r="F19" i="1"/>
  <c r="G40" i="5"/>
  <c r="AD44" i="5"/>
  <c r="AC44" i="5"/>
  <c r="AB44" i="5"/>
  <c r="AA44" i="5"/>
  <c r="Z44" i="5"/>
  <c r="Y44" i="5"/>
  <c r="X44" i="5"/>
  <c r="W44" i="5"/>
  <c r="V44" i="5"/>
  <c r="U44" i="5"/>
  <c r="T44" i="5"/>
  <c r="S44" i="5"/>
  <c r="R44" i="5"/>
  <c r="Q44" i="5"/>
  <c r="P44" i="5"/>
  <c r="O44" i="5"/>
  <c r="N44" i="5"/>
  <c r="M44" i="5"/>
  <c r="L44" i="5"/>
  <c r="K44" i="5"/>
  <c r="J44" i="5"/>
  <c r="I44" i="5"/>
  <c r="H44" i="5"/>
  <c r="G44" i="5"/>
  <c r="AD43" i="5"/>
  <c r="AC43" i="5"/>
  <c r="AB43" i="5"/>
  <c r="AA43" i="5"/>
  <c r="Z43" i="5"/>
  <c r="Y43" i="5"/>
  <c r="X43" i="5"/>
  <c r="W43" i="5"/>
  <c r="V43" i="5"/>
  <c r="U43" i="5"/>
  <c r="T43" i="5"/>
  <c r="S43" i="5"/>
  <c r="R43" i="5"/>
  <c r="Q43" i="5"/>
  <c r="P43" i="5"/>
  <c r="O43" i="5"/>
  <c r="N43" i="5"/>
  <c r="M43" i="5"/>
  <c r="L43" i="5"/>
  <c r="K43" i="5"/>
  <c r="J43" i="5"/>
  <c r="I43" i="5"/>
  <c r="H43" i="5"/>
  <c r="G43" i="5"/>
  <c r="AD42" i="5"/>
  <c r="AC42" i="5"/>
  <c r="AB42" i="5"/>
  <c r="AA42" i="5"/>
  <c r="Z42" i="5"/>
  <c r="Y42" i="5"/>
  <c r="X42" i="5"/>
  <c r="W42" i="5"/>
  <c r="V42" i="5"/>
  <c r="U42" i="5"/>
  <c r="T42" i="5"/>
  <c r="S42" i="5"/>
  <c r="R42" i="5"/>
  <c r="Q42" i="5"/>
  <c r="P42" i="5"/>
  <c r="O42" i="5"/>
  <c r="N42" i="5"/>
  <c r="M42" i="5"/>
  <c r="L42" i="5"/>
  <c r="K42" i="5"/>
  <c r="J42" i="5"/>
  <c r="I42" i="5"/>
  <c r="H42" i="5"/>
  <c r="G42" i="5"/>
  <c r="AD41" i="5"/>
  <c r="AC41" i="5"/>
  <c r="AB41" i="5"/>
  <c r="AA41" i="5"/>
  <c r="Z41" i="5"/>
  <c r="Y41" i="5"/>
  <c r="X41" i="5"/>
  <c r="W41" i="5"/>
  <c r="V41" i="5"/>
  <c r="U41" i="5"/>
  <c r="T41" i="5"/>
  <c r="S41" i="5"/>
  <c r="R41" i="5"/>
  <c r="Q41" i="5"/>
  <c r="P41" i="5"/>
  <c r="O41" i="5"/>
  <c r="N41" i="5"/>
  <c r="M41" i="5"/>
  <c r="L41" i="5"/>
  <c r="K41" i="5"/>
  <c r="J41" i="5"/>
  <c r="I41" i="5"/>
  <c r="H41" i="5"/>
  <c r="G41" i="5"/>
  <c r="AD40" i="5"/>
  <c r="AC40" i="5"/>
  <c r="AB40" i="5"/>
  <c r="AA40" i="5"/>
  <c r="Z40" i="5"/>
  <c r="Y40" i="5"/>
  <c r="X40" i="5"/>
  <c r="W40" i="5"/>
  <c r="V40" i="5"/>
  <c r="U40" i="5"/>
  <c r="T40" i="5"/>
  <c r="S40" i="5"/>
  <c r="R40" i="5"/>
  <c r="Q40" i="5"/>
  <c r="P40" i="5"/>
  <c r="O40" i="5"/>
  <c r="N40" i="5"/>
  <c r="M40" i="5"/>
  <c r="L40" i="5"/>
  <c r="K40" i="5"/>
  <c r="J40" i="5"/>
  <c r="I40" i="5"/>
  <c r="H40" i="5"/>
  <c r="G53" i="5"/>
  <c r="H53" i="5"/>
  <c r="I53" i="5"/>
  <c r="J53" i="5"/>
  <c r="K53" i="5"/>
  <c r="L53" i="5"/>
  <c r="M53" i="5"/>
  <c r="N53" i="5"/>
  <c r="O53" i="5"/>
  <c r="P53" i="5"/>
  <c r="Q53" i="5"/>
  <c r="R53" i="5"/>
  <c r="B27" i="5"/>
  <c r="AD46" i="5"/>
  <c r="AC46" i="5"/>
  <c r="AB46" i="5"/>
  <c r="AA46" i="5"/>
  <c r="Z46" i="5"/>
  <c r="Y46" i="5"/>
  <c r="X46" i="5"/>
  <c r="W46" i="5"/>
  <c r="V46" i="5"/>
  <c r="U46" i="5"/>
  <c r="T46" i="5"/>
  <c r="S46" i="5"/>
  <c r="AD39" i="5"/>
  <c r="AC39" i="5"/>
  <c r="AB39" i="5"/>
  <c r="AA39" i="5"/>
  <c r="Z39" i="5"/>
  <c r="Y39" i="5"/>
  <c r="X39" i="5"/>
  <c r="W39" i="5"/>
  <c r="V39" i="5"/>
  <c r="U39" i="5"/>
  <c r="T39" i="5"/>
  <c r="S39" i="5"/>
  <c r="R39" i="5"/>
  <c r="Q39" i="5"/>
  <c r="P39" i="5"/>
  <c r="O39" i="5"/>
  <c r="N39" i="5"/>
  <c r="M39" i="5"/>
  <c r="L39" i="5"/>
  <c r="K39" i="5"/>
  <c r="J39" i="5"/>
  <c r="I39" i="5"/>
  <c r="H39" i="5"/>
  <c r="AD32" i="5"/>
  <c r="AC32" i="5"/>
  <c r="AB32" i="5"/>
  <c r="AA32" i="5"/>
  <c r="Z32" i="5"/>
  <c r="Y32" i="5"/>
  <c r="X32" i="5"/>
  <c r="W32" i="5"/>
  <c r="V32" i="5"/>
  <c r="U32" i="5"/>
  <c r="T32" i="5"/>
  <c r="S32" i="5"/>
  <c r="AD25" i="5"/>
  <c r="AC25" i="5"/>
  <c r="AB25" i="5"/>
  <c r="AA25" i="5"/>
  <c r="Z25" i="5"/>
  <c r="Y25" i="5"/>
  <c r="X25" i="5"/>
  <c r="W25" i="5"/>
  <c r="V25" i="5"/>
  <c r="U25" i="5"/>
  <c r="T25" i="5"/>
  <c r="S25" i="5"/>
  <c r="R25" i="5"/>
  <c r="Q25" i="5"/>
  <c r="P25" i="5"/>
  <c r="O25" i="5"/>
  <c r="N25" i="5"/>
  <c r="M25" i="5"/>
  <c r="L25" i="5"/>
  <c r="K25" i="5"/>
  <c r="J25" i="5"/>
  <c r="I25" i="5"/>
  <c r="H25" i="5"/>
  <c r="G25" i="5"/>
  <c r="G7" i="1"/>
  <c r="H7" i="1"/>
  <c r="I7" i="1"/>
  <c r="J7" i="1"/>
  <c r="K7" i="1"/>
  <c r="L7" i="1"/>
  <c r="M7" i="1"/>
  <c r="N7" i="1"/>
  <c r="O7" i="1"/>
  <c r="P7" i="1"/>
  <c r="Q7" i="1"/>
  <c r="R7" i="1"/>
  <c r="B26" i="1"/>
  <c r="R3" i="5"/>
  <c r="Q3" i="5"/>
  <c r="P3" i="5"/>
  <c r="O3" i="5"/>
  <c r="N3" i="5"/>
  <c r="M3" i="5"/>
  <c r="L3" i="5"/>
  <c r="K3" i="5"/>
  <c r="J3" i="5"/>
  <c r="I3" i="5"/>
  <c r="H3" i="5"/>
  <c r="G3" i="5"/>
  <c r="A79" i="5"/>
  <c r="F46" i="5"/>
  <c r="A27" i="5"/>
  <c r="G39" i="5"/>
  <c r="B26" i="5"/>
  <c r="A26" i="5"/>
  <c r="B25" i="5"/>
  <c r="A25" i="5"/>
  <c r="A24" i="5"/>
  <c r="A23" i="5"/>
  <c r="A22" i="5"/>
  <c r="B21" i="5"/>
  <c r="A21" i="5"/>
  <c r="B20" i="5"/>
  <c r="A20" i="5"/>
  <c r="F13" i="5"/>
  <c r="R5" i="5"/>
  <c r="Q5" i="5"/>
  <c r="P5" i="5"/>
  <c r="O5" i="5"/>
  <c r="N5" i="5"/>
  <c r="M5" i="5"/>
  <c r="L5" i="5"/>
  <c r="K5" i="5"/>
  <c r="J5" i="5"/>
  <c r="I5" i="5"/>
  <c r="H5" i="5"/>
  <c r="G5" i="5"/>
  <c r="F17" i="3"/>
  <c r="G17" i="3"/>
  <c r="H17" i="3"/>
  <c r="I17" i="3"/>
  <c r="J17" i="3"/>
  <c r="K17" i="3"/>
  <c r="L17" i="3"/>
  <c r="M17" i="3"/>
  <c r="N17" i="3"/>
  <c r="O17" i="3"/>
  <c r="P17" i="3"/>
  <c r="Q17" i="3"/>
  <c r="Q23" i="3"/>
  <c r="P23" i="3"/>
  <c r="O23" i="3"/>
  <c r="N23" i="3"/>
  <c r="M23" i="3"/>
  <c r="L23" i="3"/>
  <c r="K23" i="3"/>
  <c r="J23" i="3"/>
  <c r="I23" i="3"/>
  <c r="H23" i="3"/>
  <c r="G23" i="3"/>
  <c r="F23" i="3"/>
  <c r="F16" i="3"/>
  <c r="G16" i="3"/>
  <c r="H16" i="3"/>
  <c r="I16" i="3"/>
  <c r="J16" i="3"/>
  <c r="K16" i="3"/>
  <c r="L16" i="3"/>
  <c r="M16" i="3"/>
  <c r="N16" i="3"/>
  <c r="O16" i="3"/>
  <c r="P16" i="3"/>
  <c r="Q16" i="3"/>
  <c r="Q22" i="3"/>
  <c r="P22" i="3"/>
  <c r="O22" i="3"/>
  <c r="N22" i="3"/>
  <c r="M22" i="3"/>
  <c r="L22" i="3"/>
  <c r="K22" i="3"/>
  <c r="J22" i="3"/>
  <c r="I22" i="3"/>
  <c r="H22" i="3"/>
  <c r="G22" i="3"/>
  <c r="F22" i="3"/>
  <c r="I54" i="1"/>
  <c r="H54" i="1"/>
  <c r="G40" i="1"/>
  <c r="I55" i="1"/>
  <c r="H55" i="1"/>
  <c r="G41" i="1"/>
  <c r="I56" i="1"/>
  <c r="H56" i="1"/>
  <c r="G42" i="1"/>
  <c r="I57" i="1"/>
  <c r="H57" i="1"/>
  <c r="G43" i="1"/>
  <c r="I58" i="1"/>
  <c r="H58" i="1"/>
  <c r="G44" i="1"/>
  <c r="G39" i="1"/>
  <c r="F15" i="3"/>
  <c r="J54" i="1"/>
  <c r="H40" i="1"/>
  <c r="J55" i="1"/>
  <c r="H41" i="1"/>
  <c r="J56" i="1"/>
  <c r="H42" i="1"/>
  <c r="J57" i="1"/>
  <c r="H43" i="1"/>
  <c r="J58" i="1"/>
  <c r="H44" i="1"/>
  <c r="H39" i="1"/>
  <c r="G15" i="3"/>
  <c r="K54" i="1"/>
  <c r="I40" i="1"/>
  <c r="K55" i="1"/>
  <c r="I41" i="1"/>
  <c r="K56" i="1"/>
  <c r="I42" i="1"/>
  <c r="K57" i="1"/>
  <c r="I43" i="1"/>
  <c r="K58" i="1"/>
  <c r="I44" i="1"/>
  <c r="I39" i="1"/>
  <c r="H15" i="3"/>
  <c r="L54" i="1"/>
  <c r="J40" i="1"/>
  <c r="L55" i="1"/>
  <c r="J41" i="1"/>
  <c r="L56" i="1"/>
  <c r="J42" i="1"/>
  <c r="L57" i="1"/>
  <c r="J43" i="1"/>
  <c r="L58" i="1"/>
  <c r="J44" i="1"/>
  <c r="J39" i="1"/>
  <c r="I15" i="3"/>
  <c r="M54" i="1"/>
  <c r="K40" i="1"/>
  <c r="M55" i="1"/>
  <c r="K41" i="1"/>
  <c r="M56" i="1"/>
  <c r="K42" i="1"/>
  <c r="M57" i="1"/>
  <c r="K43" i="1"/>
  <c r="M58" i="1"/>
  <c r="K44" i="1"/>
  <c r="K39" i="1"/>
  <c r="J15" i="3"/>
  <c r="N54" i="1"/>
  <c r="L40" i="1"/>
  <c r="N55" i="1"/>
  <c r="L41" i="1"/>
  <c r="N56" i="1"/>
  <c r="L42" i="1"/>
  <c r="N57" i="1"/>
  <c r="L43" i="1"/>
  <c r="N58" i="1"/>
  <c r="L44" i="1"/>
  <c r="L39" i="1"/>
  <c r="K15" i="3"/>
  <c r="O54" i="1"/>
  <c r="M40" i="1"/>
  <c r="O55" i="1"/>
  <c r="M41" i="1"/>
  <c r="O56" i="1"/>
  <c r="M42" i="1"/>
  <c r="O57" i="1"/>
  <c r="M43" i="1"/>
  <c r="O58" i="1"/>
  <c r="M44" i="1"/>
  <c r="M39" i="1"/>
  <c r="L15" i="3"/>
  <c r="P54" i="1"/>
  <c r="N40" i="1"/>
  <c r="P55" i="1"/>
  <c r="N41" i="1"/>
  <c r="P56" i="1"/>
  <c r="N42" i="1"/>
  <c r="P57" i="1"/>
  <c r="N43" i="1"/>
  <c r="P58" i="1"/>
  <c r="N44" i="1"/>
  <c r="N39" i="1"/>
  <c r="M15" i="3"/>
  <c r="Q54" i="1"/>
  <c r="O40" i="1"/>
  <c r="Q55" i="1"/>
  <c r="O41" i="1"/>
  <c r="Q56" i="1"/>
  <c r="O42" i="1"/>
  <c r="Q57" i="1"/>
  <c r="O43" i="1"/>
  <c r="Q58" i="1"/>
  <c r="O44" i="1"/>
  <c r="O39" i="1"/>
  <c r="N15" i="3"/>
  <c r="R54" i="1"/>
  <c r="P40" i="1"/>
  <c r="R55" i="1"/>
  <c r="P41" i="1"/>
  <c r="R56" i="1"/>
  <c r="P42" i="1"/>
  <c r="R57" i="1"/>
  <c r="P43" i="1"/>
  <c r="R58" i="1"/>
  <c r="P44" i="1"/>
  <c r="P39" i="1"/>
  <c r="O15" i="3"/>
  <c r="S54" i="1"/>
  <c r="Q40" i="1"/>
  <c r="S55" i="1"/>
  <c r="Q41" i="1"/>
  <c r="S56" i="1"/>
  <c r="Q42" i="1"/>
  <c r="S57" i="1"/>
  <c r="Q43" i="1"/>
  <c r="S58" i="1"/>
  <c r="Q44" i="1"/>
  <c r="Q39" i="1"/>
  <c r="P15" i="3"/>
  <c r="R40" i="1"/>
  <c r="R41" i="1"/>
  <c r="R42" i="1"/>
  <c r="R43" i="1"/>
  <c r="R44" i="1"/>
  <c r="R39" i="1"/>
  <c r="Q15" i="3"/>
  <c r="Q21" i="3"/>
  <c r="P21" i="3"/>
  <c r="O21" i="3"/>
  <c r="N21" i="3"/>
  <c r="M21" i="3"/>
  <c r="L21" i="3"/>
  <c r="K21" i="3"/>
  <c r="J21" i="3"/>
  <c r="I21" i="3"/>
  <c r="H21" i="3"/>
  <c r="G21" i="3"/>
  <c r="F21" i="3"/>
  <c r="R23" i="3"/>
  <c r="R22" i="3"/>
  <c r="R21" i="3"/>
  <c r="G32" i="1"/>
  <c r="F14" i="3"/>
  <c r="H32" i="1"/>
  <c r="G14" i="3"/>
  <c r="I32" i="1"/>
  <c r="H14" i="3"/>
  <c r="J32" i="1"/>
  <c r="I14" i="3"/>
  <c r="K32" i="1"/>
  <c r="J14" i="3"/>
  <c r="L32" i="1"/>
  <c r="K14" i="3"/>
  <c r="M32" i="1"/>
  <c r="L14" i="3"/>
  <c r="N32" i="1"/>
  <c r="M14" i="3"/>
  <c r="O32" i="1"/>
  <c r="N14" i="3"/>
  <c r="P32" i="1"/>
  <c r="O14" i="3"/>
  <c r="Q32" i="1"/>
  <c r="P14" i="3"/>
  <c r="R32" i="1"/>
  <c r="Q14" i="3"/>
  <c r="F20" i="3"/>
  <c r="G20" i="3"/>
  <c r="H20" i="3"/>
  <c r="I20" i="3"/>
  <c r="J20" i="3"/>
  <c r="K20" i="3"/>
  <c r="L20" i="3"/>
  <c r="M20" i="3"/>
  <c r="N20" i="3"/>
  <c r="O20" i="3"/>
  <c r="P20" i="3"/>
  <c r="Q20" i="3"/>
  <c r="R20" i="3"/>
  <c r="R14" i="3"/>
  <c r="A52" i="3"/>
  <c r="Q5" i="3"/>
  <c r="F5" i="3"/>
  <c r="G5" i="3"/>
  <c r="H5" i="3"/>
  <c r="I5" i="3"/>
  <c r="J5" i="3"/>
  <c r="K5" i="3"/>
  <c r="L5" i="3"/>
  <c r="M5" i="3"/>
  <c r="N5" i="3"/>
  <c r="O5" i="3"/>
  <c r="P5" i="3"/>
  <c r="F50" i="3"/>
  <c r="G50" i="3"/>
  <c r="H50" i="3"/>
  <c r="I50" i="3"/>
  <c r="J50" i="3"/>
  <c r="K50" i="3"/>
  <c r="L50" i="3"/>
  <c r="M50" i="3"/>
  <c r="N50" i="3"/>
  <c r="O50" i="3"/>
  <c r="P50" i="3"/>
  <c r="Q50" i="3"/>
  <c r="Q7" i="3"/>
  <c r="Q8" i="3"/>
  <c r="P7" i="3"/>
  <c r="P8" i="3"/>
  <c r="O7" i="3"/>
  <c r="O8" i="3"/>
  <c r="N7" i="3"/>
  <c r="N8" i="3"/>
  <c r="M7" i="3"/>
  <c r="M8" i="3"/>
  <c r="L7" i="3"/>
  <c r="L8" i="3"/>
  <c r="K7" i="3"/>
  <c r="K8" i="3"/>
  <c r="J7" i="3"/>
  <c r="J8" i="3"/>
  <c r="I7" i="3"/>
  <c r="I8" i="3"/>
  <c r="H7" i="3"/>
  <c r="H8" i="3"/>
  <c r="G7" i="3"/>
  <c r="G8" i="3"/>
  <c r="F7" i="3"/>
  <c r="F8" i="3"/>
  <c r="F6" i="3"/>
  <c r="G6" i="3"/>
  <c r="H6" i="3"/>
  <c r="I6" i="3"/>
  <c r="J6" i="3"/>
  <c r="K6" i="3"/>
  <c r="L6" i="3"/>
  <c r="M6" i="3"/>
  <c r="N6" i="3"/>
  <c r="O6" i="3"/>
  <c r="P6" i="3"/>
  <c r="Q6" i="3"/>
  <c r="R6" i="3"/>
  <c r="R5" i="3"/>
  <c r="A51" i="3"/>
  <c r="W46" i="1"/>
  <c r="W47" i="1"/>
  <c r="W48" i="1"/>
  <c r="W49" i="1"/>
  <c r="W50" i="1"/>
  <c r="B40" i="1"/>
  <c r="B33" i="1"/>
  <c r="H13" i="1"/>
  <c r="I13" i="1"/>
  <c r="J13" i="1"/>
  <c r="K13" i="1"/>
  <c r="L13" i="1"/>
  <c r="M13" i="1"/>
  <c r="N13" i="1"/>
  <c r="O13" i="1"/>
  <c r="P13" i="1"/>
  <c r="Q13" i="1"/>
  <c r="R13" i="1"/>
  <c r="B34" i="1"/>
  <c r="B35" i="1"/>
  <c r="G25" i="1"/>
  <c r="H25" i="1"/>
  <c r="I25" i="1"/>
  <c r="J25" i="1"/>
  <c r="K25" i="1"/>
  <c r="L25" i="1"/>
  <c r="M25" i="1"/>
  <c r="N25" i="1"/>
  <c r="O25" i="1"/>
  <c r="P25" i="1"/>
  <c r="Q25" i="1"/>
  <c r="R25" i="1"/>
  <c r="B36" i="1"/>
  <c r="B37" i="1"/>
  <c r="B38" i="1"/>
  <c r="B39" i="1"/>
  <c r="A40" i="1"/>
  <c r="A39" i="1"/>
  <c r="A38" i="1"/>
  <c r="A37" i="1"/>
  <c r="A36" i="1"/>
  <c r="A35" i="1"/>
  <c r="A34" i="1"/>
  <c r="A33" i="1"/>
  <c r="W51" i="1"/>
  <c r="F46" i="1"/>
  <c r="AD37" i="1"/>
  <c r="AD46" i="1"/>
  <c r="AD51" i="1"/>
  <c r="AC37" i="1"/>
  <c r="AC46" i="1"/>
  <c r="AC51" i="1"/>
  <c r="AB37" i="1"/>
  <c r="AB46" i="1"/>
  <c r="AB51" i="1"/>
  <c r="AA37" i="1"/>
  <c r="AA46" i="1"/>
  <c r="AA51" i="1"/>
  <c r="Z37" i="1"/>
  <c r="Z46" i="1"/>
  <c r="Z51" i="1"/>
  <c r="Y37" i="1"/>
  <c r="Y46" i="1"/>
  <c r="Y51" i="1"/>
  <c r="X37" i="1"/>
  <c r="X46" i="1"/>
  <c r="X51" i="1"/>
  <c r="W37" i="1"/>
  <c r="V37" i="1"/>
  <c r="AD36" i="1"/>
  <c r="AD50" i="1"/>
  <c r="AC36" i="1"/>
  <c r="AC50" i="1"/>
  <c r="AB36" i="1"/>
  <c r="AB50" i="1"/>
  <c r="AA36" i="1"/>
  <c r="AA50" i="1"/>
  <c r="Z36" i="1"/>
  <c r="Z50" i="1"/>
  <c r="Y36" i="1"/>
  <c r="Y50" i="1"/>
  <c r="X36" i="1"/>
  <c r="X50" i="1"/>
  <c r="W36" i="1"/>
  <c r="V36" i="1"/>
  <c r="AD35" i="1"/>
  <c r="AD49" i="1"/>
  <c r="AC35" i="1"/>
  <c r="AC49" i="1"/>
  <c r="AB35" i="1"/>
  <c r="AB49" i="1"/>
  <c r="AA35" i="1"/>
  <c r="AA49" i="1"/>
  <c r="Z35" i="1"/>
  <c r="Z49" i="1"/>
  <c r="Y35" i="1"/>
  <c r="Y49" i="1"/>
  <c r="X35" i="1"/>
  <c r="X49" i="1"/>
  <c r="W35" i="1"/>
  <c r="V35" i="1"/>
  <c r="AD34" i="1"/>
  <c r="AD48" i="1"/>
  <c r="AC34" i="1"/>
  <c r="AC48" i="1"/>
  <c r="AB34" i="1"/>
  <c r="AB48" i="1"/>
  <c r="AA34" i="1"/>
  <c r="AA48" i="1"/>
  <c r="Z34" i="1"/>
  <c r="Z48" i="1"/>
  <c r="Y34" i="1"/>
  <c r="Y48" i="1"/>
  <c r="X34" i="1"/>
  <c r="X48" i="1"/>
  <c r="W34" i="1"/>
  <c r="V34" i="1"/>
  <c r="AD33" i="1"/>
  <c r="AD47" i="1"/>
  <c r="AC33" i="1"/>
  <c r="AC47" i="1"/>
  <c r="AB33" i="1"/>
  <c r="AB47" i="1"/>
  <c r="AA33" i="1"/>
  <c r="AA47" i="1"/>
  <c r="Z33" i="1"/>
  <c r="Z47" i="1"/>
  <c r="Y33" i="1"/>
  <c r="Y47" i="1"/>
  <c r="X33" i="1"/>
  <c r="X47" i="1"/>
  <c r="W33" i="1"/>
  <c r="V33" i="1"/>
  <c r="R3" i="1"/>
  <c r="Q3" i="1"/>
  <c r="P3" i="1"/>
  <c r="O3" i="1"/>
  <c r="N3" i="1"/>
  <c r="M3" i="1"/>
  <c r="L3" i="1"/>
  <c r="K3" i="1"/>
  <c r="J3" i="1"/>
  <c r="I3" i="1"/>
  <c r="H3" i="1"/>
  <c r="G3" i="1"/>
  <c r="G58" i="1"/>
  <c r="G57" i="1"/>
  <c r="G56" i="1"/>
  <c r="G55" i="1"/>
  <c r="G54" i="1"/>
  <c r="R5" i="1"/>
  <c r="Q5" i="1"/>
  <c r="P5" i="1"/>
  <c r="O5" i="1"/>
  <c r="N5" i="1"/>
  <c r="M5" i="1"/>
  <c r="L5" i="1"/>
  <c r="K5" i="1"/>
  <c r="J5" i="1"/>
  <c r="I5" i="1"/>
  <c r="H5" i="1"/>
  <c r="G5" i="1"/>
  <c r="F54" i="3"/>
  <c r="G54" i="3"/>
  <c r="H54" i="3"/>
  <c r="I54" i="3"/>
  <c r="J54" i="3"/>
  <c r="K54" i="3"/>
  <c r="L54" i="3"/>
  <c r="M54" i="3"/>
  <c r="N54" i="3"/>
  <c r="O54" i="3"/>
  <c r="P54" i="3"/>
  <c r="Q54" i="3"/>
  <c r="Q28" i="3"/>
  <c r="Q29" i="3"/>
  <c r="Q35" i="3"/>
  <c r="P28" i="3"/>
  <c r="P29" i="3"/>
  <c r="P35" i="3"/>
  <c r="O28" i="3"/>
  <c r="O29" i="3"/>
  <c r="O35" i="3"/>
  <c r="N28" i="3"/>
  <c r="N29" i="3"/>
  <c r="N35" i="3"/>
  <c r="M28" i="3"/>
  <c r="M29" i="3"/>
  <c r="M35" i="3"/>
  <c r="L28" i="3"/>
  <c r="L29" i="3"/>
  <c r="L35" i="3"/>
  <c r="K28" i="3"/>
  <c r="K29" i="3"/>
  <c r="K35" i="3"/>
  <c r="J28" i="3"/>
  <c r="J29" i="3"/>
  <c r="J35" i="3"/>
  <c r="I28" i="3"/>
  <c r="I29" i="3"/>
  <c r="I35" i="3"/>
  <c r="H28" i="3"/>
  <c r="H29" i="3"/>
  <c r="H35" i="3"/>
  <c r="G28" i="3"/>
  <c r="G29" i="3"/>
  <c r="G35" i="3"/>
  <c r="F28" i="3"/>
  <c r="F29" i="3"/>
  <c r="F35" i="3"/>
  <c r="R16" i="3"/>
  <c r="R54" i="3"/>
  <c r="R35" i="3"/>
  <c r="G34" i="3"/>
  <c r="H34" i="3"/>
  <c r="I34" i="3"/>
  <c r="J34" i="3"/>
  <c r="K34" i="3"/>
  <c r="L34" i="3"/>
  <c r="M34" i="3"/>
  <c r="N34" i="3"/>
  <c r="O34" i="3"/>
  <c r="P34" i="3"/>
  <c r="Q34" i="3"/>
  <c r="F34" i="3"/>
  <c r="R34" i="3"/>
  <c r="Q55" i="3"/>
  <c r="P55" i="3"/>
  <c r="O55" i="3"/>
  <c r="N55" i="3"/>
  <c r="M55" i="3"/>
  <c r="L55" i="3"/>
  <c r="K55" i="3"/>
  <c r="J55" i="3"/>
  <c r="I55" i="3"/>
  <c r="H55" i="3"/>
  <c r="G55" i="3"/>
  <c r="F55" i="3"/>
  <c r="D2" i="3"/>
  <c r="R29" i="3"/>
  <c r="E25" i="3"/>
  <c r="E8" i="3"/>
  <c r="E7" i="3"/>
  <c r="R17" i="3"/>
  <c r="E4" i="3"/>
  <c r="Q1" i="3"/>
  <c r="P1" i="3"/>
  <c r="O1" i="3"/>
  <c r="N1" i="3"/>
  <c r="M1" i="3"/>
  <c r="L1" i="3"/>
  <c r="K1" i="3"/>
  <c r="J1" i="3"/>
  <c r="I1" i="3"/>
  <c r="H1" i="3"/>
  <c r="G1" i="3"/>
  <c r="F1" i="3"/>
  <c r="F25" i="1"/>
  <c r="F13" i="1"/>
  <c r="B30" i="1"/>
  <c r="B28" i="1"/>
  <c r="B27" i="1"/>
  <c r="AD19" i="1"/>
  <c r="AC19" i="1"/>
  <c r="AB19" i="1"/>
  <c r="AA19" i="1"/>
  <c r="Z19" i="1"/>
  <c r="AD13" i="1"/>
  <c r="AC13" i="1"/>
  <c r="AB13" i="1"/>
  <c r="AA13" i="1"/>
  <c r="Z13" i="1"/>
  <c r="Y13" i="1"/>
  <c r="X13" i="1"/>
  <c r="W13" i="1"/>
  <c r="V13" i="1"/>
  <c r="U13" i="1"/>
  <c r="T13" i="1"/>
  <c r="S13" i="1"/>
  <c r="AD7" i="1"/>
  <c r="AC7" i="1"/>
  <c r="AB7" i="1"/>
  <c r="AA7" i="1"/>
  <c r="Z7" i="1"/>
  <c r="Y7" i="1"/>
  <c r="X7" i="1"/>
  <c r="W7" i="1"/>
  <c r="V7" i="1"/>
  <c r="U7" i="1"/>
  <c r="T7" i="1"/>
  <c r="S7" i="1"/>
  <c r="B5" i="1"/>
  <c r="B15" i="1"/>
  <c r="R28" i="3"/>
  <c r="R55" i="3"/>
  <c r="B29" i="1"/>
  <c r="R7" i="3"/>
  <c r="R8" i="3"/>
  <c r="R15" i="3"/>
  <c r="F52" i="3"/>
  <c r="G52" i="3"/>
  <c r="H52" i="3"/>
  <c r="I52" i="3"/>
  <c r="J52" i="3"/>
  <c r="K52" i="3"/>
  <c r="L52" i="3"/>
  <c r="M52" i="3"/>
  <c r="N52" i="3"/>
  <c r="O52" i="3"/>
  <c r="P52" i="3"/>
  <c r="Q52" i="3"/>
  <c r="F53" i="3"/>
  <c r="G53" i="3"/>
  <c r="H53" i="3"/>
  <c r="I53" i="3"/>
  <c r="J53" i="3"/>
  <c r="K53" i="3"/>
  <c r="L53" i="3"/>
  <c r="M53" i="3"/>
  <c r="N53" i="3"/>
  <c r="O53" i="3"/>
  <c r="P53" i="3"/>
  <c r="Q53" i="3"/>
  <c r="F26" i="3"/>
  <c r="G26" i="3"/>
  <c r="H26" i="3"/>
  <c r="I26" i="3"/>
  <c r="J26" i="3"/>
  <c r="K26" i="3"/>
  <c r="L26" i="3"/>
  <c r="M26" i="3"/>
  <c r="N26" i="3"/>
  <c r="O26" i="3"/>
  <c r="P26" i="3"/>
  <c r="Q26" i="3"/>
  <c r="R26" i="3"/>
  <c r="F27" i="3"/>
  <c r="G27" i="3"/>
  <c r="H27" i="3"/>
  <c r="I27" i="3"/>
  <c r="J27" i="3"/>
  <c r="K27" i="3"/>
  <c r="L27" i="3"/>
  <c r="M27" i="3"/>
  <c r="N27" i="3"/>
  <c r="O27" i="3"/>
  <c r="P27" i="3"/>
  <c r="Q27" i="3"/>
  <c r="R27" i="3"/>
  <c r="R50" i="3"/>
  <c r="R52" i="3"/>
  <c r="R53" i="3"/>
  <c r="F32" i="3"/>
  <c r="G32" i="3"/>
  <c r="H32" i="3"/>
  <c r="I32" i="3"/>
  <c r="J32" i="3"/>
  <c r="K32" i="3"/>
  <c r="L32" i="3"/>
  <c r="M32" i="3"/>
  <c r="N32" i="3"/>
  <c r="O32" i="3"/>
  <c r="P32" i="3"/>
  <c r="Q32" i="3"/>
  <c r="R32" i="3"/>
  <c r="F33" i="3"/>
  <c r="G33" i="3"/>
  <c r="H33" i="3"/>
  <c r="I33" i="3"/>
  <c r="J33" i="3"/>
  <c r="K33" i="3"/>
  <c r="L33" i="3"/>
  <c r="M33" i="3"/>
  <c r="N33" i="3"/>
  <c r="O33" i="3"/>
  <c r="P33" i="3"/>
  <c r="Q33" i="3"/>
  <c r="R33" i="3"/>
  <c r="F51" i="3"/>
  <c r="G51" i="3"/>
  <c r="H51" i="3"/>
  <c r="I51" i="3"/>
  <c r="J51" i="3"/>
  <c r="K51" i="3"/>
  <c r="L51" i="3"/>
  <c r="M51" i="3"/>
  <c r="N51" i="3"/>
  <c r="O51" i="3"/>
  <c r="P51" i="3"/>
  <c r="Q51" i="3"/>
  <c r="R51" i="3"/>
  <c r="F19" i="5"/>
  <c r="B22" i="5"/>
  <c r="B24" i="5"/>
  <c r="F25" i="5"/>
  <c r="S53" i="5"/>
  <c r="U53" i="5"/>
  <c r="T53" i="5"/>
  <c r="AD53" i="5"/>
  <c r="AC53" i="5"/>
  <c r="AB53" i="5"/>
  <c r="AA53" i="5"/>
  <c r="Z53" i="5"/>
  <c r="Y53" i="5"/>
  <c r="X53" i="5"/>
  <c r="W53" i="5"/>
  <c r="V53" i="5"/>
  <c r="AA19" i="5"/>
  <c r="Z19" i="5"/>
  <c r="Y19" i="5"/>
  <c r="X19" i="5"/>
  <c r="W19" i="5"/>
  <c r="V19" i="5"/>
  <c r="U19" i="5"/>
  <c r="T19" i="5"/>
  <c r="S19" i="5"/>
  <c r="AA13" i="5"/>
  <c r="Z13" i="5"/>
  <c r="Y13" i="5"/>
  <c r="X13" i="5"/>
  <c r="W13" i="5"/>
  <c r="V13" i="5"/>
  <c r="U13" i="5"/>
  <c r="T13" i="5"/>
  <c r="S13" i="5"/>
  <c r="AA7" i="5"/>
  <c r="Z7" i="5"/>
  <c r="Y7" i="5"/>
  <c r="X7" i="5"/>
  <c r="W7" i="5"/>
  <c r="V7" i="5"/>
  <c r="U7" i="5"/>
  <c r="T7" i="5"/>
  <c r="S7" i="5"/>
  <c r="B23" i="5"/>
  <c r="AB7" i="5"/>
  <c r="AC7" i="5"/>
  <c r="AD7" i="5"/>
  <c r="AB13" i="5"/>
  <c r="AC13" i="5"/>
  <c r="AD13" i="5"/>
  <c r="AB19" i="5"/>
  <c r="AC19" i="5"/>
  <c r="AD19" i="5"/>
</calcChain>
</file>

<file path=xl/comments1.xml><?xml version="1.0" encoding="utf-8"?>
<comments xmlns="http://schemas.openxmlformats.org/spreadsheetml/2006/main">
  <authors>
    <author>Chris Russell</author>
  </authors>
  <commentList>
    <comment ref="A3" authorId="0">
      <text>
        <r>
          <rPr>
            <b/>
            <sz val="9"/>
            <color indexed="81"/>
            <rFont val="Calibri"/>
            <family val="2"/>
          </rPr>
          <t>Chris Russell:</t>
        </r>
        <r>
          <rPr>
            <sz val="9"/>
            <color indexed="81"/>
            <rFont val="Calibri"/>
            <family val="2"/>
          </rPr>
          <t xml:space="preserve">
The Total New Bookings Goal for Next Year is the total goal for new business dollars from all sources (marketing + sales).</t>
        </r>
      </text>
    </comment>
    <comment ref="E3" authorId="0">
      <text>
        <r>
          <rPr>
            <b/>
            <sz val="9"/>
            <color indexed="81"/>
            <rFont val="Calibri"/>
            <family val="2"/>
          </rPr>
          <t>Chris Russell:</t>
        </r>
        <r>
          <rPr>
            <sz val="9"/>
            <color indexed="81"/>
            <rFont val="Calibri"/>
            <family val="2"/>
          </rPr>
          <t xml:space="preserve">
Suggested Monthly Budget calculation is meant to show how much of the annual budget should be allocated to this month to achieve the annual cost per new name in each of the 12 months.</t>
        </r>
      </text>
    </comment>
    <comment ref="A4" authorId="0">
      <text>
        <r>
          <rPr>
            <b/>
            <sz val="9"/>
            <color indexed="81"/>
            <rFont val="Calibri"/>
            <family val="2"/>
          </rPr>
          <t>Chris Russell:</t>
        </r>
        <r>
          <rPr>
            <sz val="9"/>
            <color indexed="81"/>
            <rFont val="Calibri"/>
            <family val="2"/>
          </rPr>
          <t xml:space="preserve">
What % of new bookings are projected to come from marketing sources?</t>
        </r>
      </text>
    </comment>
    <comment ref="E4" authorId="0">
      <text>
        <r>
          <rPr>
            <b/>
            <sz val="9"/>
            <color indexed="81"/>
            <rFont val="Calibri"/>
            <family val="2"/>
          </rPr>
          <t>Chris Russell:</t>
        </r>
        <r>
          <rPr>
            <sz val="9"/>
            <color indexed="81"/>
            <rFont val="Calibri"/>
            <family val="2"/>
          </rPr>
          <t xml:space="preserve">
Add in your monthly budget allocations to see your cost per name numbers for each month.</t>
        </r>
      </text>
    </comment>
    <comment ref="A5" authorId="0">
      <text>
        <r>
          <rPr>
            <b/>
            <sz val="9"/>
            <color indexed="81"/>
            <rFont val="Calibri"/>
            <family val="2"/>
          </rPr>
          <t>Chris Russell:</t>
        </r>
        <r>
          <rPr>
            <sz val="9"/>
            <color indexed="81"/>
            <rFont val="Calibri"/>
            <family val="2"/>
          </rPr>
          <t xml:space="preserve">
Dollar value of marketing's portion of new bookings goal.</t>
        </r>
      </text>
    </comment>
    <comment ref="E5" authorId="0">
      <text>
        <r>
          <rPr>
            <b/>
            <sz val="9"/>
            <color indexed="81"/>
            <rFont val="Calibri"/>
            <family val="2"/>
          </rPr>
          <t>Chris Russell:</t>
        </r>
        <r>
          <rPr>
            <sz val="9"/>
            <color indexed="81"/>
            <rFont val="Calibri"/>
            <family val="2"/>
          </rPr>
          <t xml:space="preserve">
Actual Budget / New Names = Cost Per New Name.  The row has been conditionally highlighted to show which months have a low cost per new name (Red) meaning that month's acquisition programs will have to be particularly effective to mett your targets.  Cells highlighted in Blue represent months in which you can afford to spend more per lead.  Money could and should be allocated away from blue months and into red months.</t>
        </r>
      </text>
    </comment>
    <comment ref="A7" authorId="0">
      <text>
        <r>
          <rPr>
            <b/>
            <sz val="9"/>
            <color indexed="81"/>
            <rFont val="Calibri"/>
            <family val="2"/>
          </rPr>
          <t>Chris Russell:</t>
        </r>
        <r>
          <rPr>
            <sz val="9"/>
            <color indexed="81"/>
            <rFont val="Calibri"/>
            <family val="2"/>
          </rPr>
          <t xml:space="preserve">
Month over month growth rate of new bookings.  This is an important factor for companies planning on growth, as Janurary run rates and goals could be 50% or less compared to December.</t>
        </r>
      </text>
    </comment>
    <comment ref="E7" authorId="0">
      <text>
        <r>
          <rPr>
            <b/>
            <sz val="9"/>
            <color indexed="81"/>
            <rFont val="Calibri"/>
            <family val="2"/>
          </rPr>
          <t>Chris Russell:</t>
        </r>
        <r>
          <rPr>
            <sz val="9"/>
            <color indexed="81"/>
            <rFont val="Calibri"/>
            <family val="2"/>
          </rPr>
          <t xml:space="preserve">
New Names are defined as any person captured or imported into the database.  The name does NOT have to be engaged or sales ready.</t>
        </r>
      </text>
    </comment>
    <comment ref="A10" authorId="0">
      <text>
        <r>
          <rPr>
            <b/>
            <sz val="9"/>
            <color indexed="81"/>
            <rFont val="Calibri"/>
            <family val="2"/>
          </rPr>
          <t>Chris Russell:</t>
        </r>
        <r>
          <rPr>
            <sz val="9"/>
            <color indexed="81"/>
            <rFont val="Calibri"/>
            <family val="2"/>
          </rPr>
          <t xml:space="preserve">
Inbound - Organic channels typicially include SEO, social media, inbound calls &amp;emails, etc...
</t>
        </r>
      </text>
    </comment>
    <comment ref="A11" authorId="0">
      <text>
        <r>
          <rPr>
            <b/>
            <sz val="9"/>
            <color indexed="81"/>
            <rFont val="Calibri"/>
            <family val="2"/>
          </rPr>
          <t>Chris Russell:</t>
        </r>
        <r>
          <rPr>
            <sz val="9"/>
            <color indexed="81"/>
            <rFont val="Calibri"/>
            <family val="2"/>
          </rPr>
          <t xml:space="preserve">
Inbound - Paid channels typically include: Adwords, social media advertising, webinars, content syndication, etc...</t>
        </r>
      </text>
    </comment>
    <comment ref="A12" authorId="0">
      <text>
        <r>
          <rPr>
            <b/>
            <sz val="9"/>
            <color indexed="81"/>
            <rFont val="Calibri"/>
            <family val="2"/>
          </rPr>
          <t>Chris Russell:</t>
        </r>
        <r>
          <rPr>
            <sz val="9"/>
            <color indexed="81"/>
            <rFont val="Calibri"/>
            <family val="2"/>
          </rPr>
          <t xml:space="preserve">
Marketing Outbound channels typically include: list purchases, direct mail, cold email blasts, etc...</t>
        </r>
      </text>
    </comment>
    <comment ref="A13" authorId="0">
      <text>
        <r>
          <rPr>
            <b/>
            <sz val="9"/>
            <color indexed="81"/>
            <rFont val="Calibri"/>
            <family val="2"/>
          </rPr>
          <t>Chris Russell:</t>
        </r>
        <r>
          <rPr>
            <sz val="9"/>
            <color indexed="81"/>
            <rFont val="Calibri"/>
            <family val="2"/>
          </rPr>
          <t xml:space="preserve">
Referral channels typically include: customer referrals, partner referrals, investor referrals, etc….</t>
        </r>
      </text>
    </comment>
    <comment ref="E13" authorId="0">
      <text>
        <r>
          <rPr>
            <b/>
            <sz val="9"/>
            <color indexed="81"/>
            <rFont val="Calibri"/>
            <family val="2"/>
          </rPr>
          <t>Chris Russell:</t>
        </r>
        <r>
          <rPr>
            <sz val="9"/>
            <color indexed="81"/>
            <rFont val="Calibri"/>
            <family val="2"/>
          </rPr>
          <t xml:space="preserve">
Names which have shown a minimal level of engagement (click, web visit, etc…) 
and are demographically qualified.  These names may or may not be ready for sales.
</t>
        </r>
      </text>
    </comment>
    <comment ref="A14" authorId="0">
      <text>
        <r>
          <rPr>
            <b/>
            <sz val="9"/>
            <color indexed="81"/>
            <rFont val="Calibri"/>
            <family val="2"/>
          </rPr>
          <t>Chris Russell:</t>
        </r>
        <r>
          <rPr>
            <sz val="9"/>
            <color indexed="81"/>
            <rFont val="Calibri"/>
            <family val="2"/>
          </rPr>
          <t xml:space="preserve">
Sales Outbound typically includes leads or opps created via sales' outbound prospecting efforts.</t>
        </r>
      </text>
    </comment>
    <comment ref="A17" authorId="0">
      <text>
        <r>
          <rPr>
            <b/>
            <sz val="9"/>
            <color indexed="81"/>
            <rFont val="Calibri"/>
            <family val="2"/>
          </rPr>
          <t>Chris Russell:</t>
        </r>
        <r>
          <rPr>
            <sz val="9"/>
            <color indexed="81"/>
            <rFont val="Calibri"/>
            <family val="2"/>
          </rPr>
          <t xml:space="preserve">
Average Sales Price is the average total price of a closed won deal at your company.</t>
        </r>
      </text>
    </comment>
    <comment ref="A18" authorId="0">
      <text>
        <r>
          <rPr>
            <b/>
            <sz val="9"/>
            <color indexed="81"/>
            <rFont val="Calibri"/>
            <family val="2"/>
          </rPr>
          <t>Chris Russell:</t>
        </r>
        <r>
          <rPr>
            <sz val="9"/>
            <color indexed="81"/>
            <rFont val="Calibri"/>
            <family val="2"/>
          </rPr>
          <t xml:space="preserve">
How long does your sales team typically take to close an opportunity?</t>
        </r>
      </text>
    </comment>
    <comment ref="A19" authorId="0">
      <text>
        <r>
          <rPr>
            <b/>
            <sz val="9"/>
            <color indexed="81"/>
            <rFont val="Calibri"/>
            <family val="2"/>
          </rPr>
          <t>Chris Russell:</t>
        </r>
        <r>
          <rPr>
            <sz val="9"/>
            <color indexed="81"/>
            <rFont val="Calibri"/>
            <family val="2"/>
          </rPr>
          <t xml:space="preserve">
What is the average length of time it takes from marketing and lead qualification team to take someone from name to new opportunity?  The Average Sales Cycle + Average Name to Opp Cycle = the total average time it would take a new name to become a closed won customer.</t>
        </r>
      </text>
    </comment>
    <comment ref="E19" authorId="0">
      <text>
        <r>
          <rPr>
            <b/>
            <sz val="9"/>
            <color indexed="81"/>
            <rFont val="Calibri"/>
            <family val="2"/>
          </rPr>
          <t>Chris Russell:</t>
        </r>
        <r>
          <rPr>
            <sz val="9"/>
            <color indexed="81"/>
            <rFont val="Calibri"/>
            <family val="2"/>
          </rPr>
          <t xml:space="preserve">
MQLs are Marketing Qualified Leads which have been passed to a lead qualification rep (SDR) with the exceptation that follow up will be completed in a set period of time.</t>
        </r>
      </text>
    </comment>
    <comment ref="A21" authorId="0">
      <text>
        <r>
          <rPr>
            <b/>
            <sz val="9"/>
            <color indexed="81"/>
            <rFont val="Calibri"/>
            <family val="2"/>
          </rPr>
          <t>Chris Russell:</t>
        </r>
        <r>
          <rPr>
            <sz val="9"/>
            <color indexed="81"/>
            <rFont val="Calibri"/>
            <family val="2"/>
          </rPr>
          <t xml:space="preserve">
What is the total amount you have to spend on marketing programs next year?</t>
        </r>
      </text>
    </comment>
    <comment ref="E25" authorId="0">
      <text>
        <r>
          <rPr>
            <b/>
            <sz val="9"/>
            <color indexed="81"/>
            <rFont val="Calibri"/>
            <family val="2"/>
          </rPr>
          <t>Chris Russell:</t>
        </r>
        <r>
          <rPr>
            <sz val="9"/>
            <color indexed="81"/>
            <rFont val="Calibri"/>
            <family val="2"/>
          </rPr>
          <t xml:space="preserve">
SALs are Sales Accepted Leads which have been qualified by an lead qualification rep (SDR) and have been assigned to an account executve.</t>
        </r>
      </text>
    </comment>
    <comment ref="E32" authorId="0">
      <text>
        <r>
          <rPr>
            <b/>
            <sz val="9"/>
            <color indexed="81"/>
            <rFont val="Calibri"/>
            <family val="2"/>
          </rPr>
          <t>Chris Russell:</t>
        </r>
        <r>
          <rPr>
            <sz val="9"/>
            <color indexed="81"/>
            <rFont val="Calibri"/>
            <family val="2"/>
          </rPr>
          <t xml:space="preserve">
SALs are Sales Accepted Leads that have been qualified by an account executive and are now "opportunities" in your CRM. Fields in this section calculate the number of opportunities required to your goal.</t>
        </r>
      </text>
    </comment>
    <comment ref="E39" authorId="0">
      <text>
        <r>
          <rPr>
            <b/>
            <sz val="9"/>
            <color indexed="81"/>
            <rFont val="Calibri"/>
            <family val="2"/>
          </rPr>
          <t>Chris Russell:</t>
        </r>
        <r>
          <rPr>
            <sz val="9"/>
            <color indexed="81"/>
            <rFont val="Calibri"/>
            <family val="2"/>
          </rPr>
          <t xml:space="preserve">
SALs are Sales Accepted Leads that have been qualified by an account executive and are now "opportunities" in your CRM. Fields in this section calculate the dollar value of opportunities required to your goal.</t>
        </r>
      </text>
    </comment>
    <comment ref="E46" authorId="0">
      <text>
        <r>
          <rPr>
            <b/>
            <sz val="9"/>
            <color indexed="81"/>
            <rFont val="Calibri"/>
            <family val="2"/>
          </rPr>
          <t>Chris Russell:</t>
        </r>
        <r>
          <rPr>
            <sz val="9"/>
            <color indexed="81"/>
            <rFont val="Calibri"/>
            <family val="2"/>
          </rPr>
          <t xml:space="preserve">
Closed Won - # of Deals represents the number of closed won opps needed to meet revenue goal.</t>
        </r>
      </text>
    </comment>
    <comment ref="E53" authorId="0">
      <text>
        <r>
          <rPr>
            <b/>
            <sz val="9"/>
            <color indexed="81"/>
            <rFont val="Calibri"/>
            <family val="2"/>
          </rPr>
          <t>Chris Russell:</t>
        </r>
        <r>
          <rPr>
            <sz val="9"/>
            <color indexed="81"/>
            <rFont val="Calibri"/>
            <family val="2"/>
          </rPr>
          <t xml:space="preserve">
Closed Won - # of Deals represents the $ value of closed won opps needed to meet revenue goal.</t>
        </r>
      </text>
    </comment>
  </commentList>
</comments>
</file>

<file path=xl/comments2.xml><?xml version="1.0" encoding="utf-8"?>
<comments xmlns="http://schemas.openxmlformats.org/spreadsheetml/2006/main">
  <authors>
    <author>Chris Russell</author>
  </authors>
  <commentList>
    <comment ref="E3" authorId="0">
      <text>
        <r>
          <rPr>
            <b/>
            <sz val="9"/>
            <color indexed="81"/>
            <rFont val="Calibri"/>
            <family val="2"/>
          </rPr>
          <t>Chris Russell:</t>
        </r>
        <r>
          <rPr>
            <sz val="9"/>
            <color indexed="81"/>
            <rFont val="Calibri"/>
            <family val="2"/>
          </rPr>
          <t xml:space="preserve">
Suggested Monthly Budget calculation is meant to show how much of the annual budget should be allocated to this month to achieve the annual cost per new name in each of the 12 months.</t>
        </r>
      </text>
    </comment>
    <comment ref="E4" authorId="0">
      <text>
        <r>
          <rPr>
            <b/>
            <sz val="9"/>
            <color indexed="81"/>
            <rFont val="Calibri"/>
            <family val="2"/>
          </rPr>
          <t>Chris Russell:</t>
        </r>
        <r>
          <rPr>
            <sz val="9"/>
            <color indexed="81"/>
            <rFont val="Calibri"/>
            <family val="2"/>
          </rPr>
          <t xml:space="preserve">
Add in your monthly budget allocations to see your cost per name numbers for each month.</t>
        </r>
      </text>
    </comment>
    <comment ref="E5" authorId="0">
      <text>
        <r>
          <rPr>
            <b/>
            <sz val="9"/>
            <color indexed="81"/>
            <rFont val="Calibri"/>
            <family val="2"/>
          </rPr>
          <t>Chris Russell:</t>
        </r>
        <r>
          <rPr>
            <sz val="9"/>
            <color indexed="81"/>
            <rFont val="Calibri"/>
            <family val="2"/>
          </rPr>
          <t xml:space="preserve">
Actual Budget / New Names = Cost Per New Name.  The row has been conditionally highlighted to show which months have a low cost per new name (Red) meaning that month's acquisition programs will have to be particularly effective to mett your targets.  Cells highlighted in Blue represent months in which you can afford to spend more per lead.  Money could and should be allocated away from blue months and into red months.</t>
        </r>
      </text>
    </comment>
    <comment ref="E7" authorId="0">
      <text>
        <r>
          <rPr>
            <b/>
            <sz val="9"/>
            <color indexed="81"/>
            <rFont val="Calibri"/>
            <family val="2"/>
          </rPr>
          <t>Chris Russell:</t>
        </r>
        <r>
          <rPr>
            <sz val="9"/>
            <color indexed="81"/>
            <rFont val="Calibri"/>
            <family val="2"/>
          </rPr>
          <t xml:space="preserve">
New Names are defined as any person captured or imported into the database.  The name does NOT have to be engaged or sales ready.</t>
        </r>
      </text>
    </comment>
    <comment ref="E13" authorId="0">
      <text>
        <r>
          <rPr>
            <b/>
            <sz val="9"/>
            <color indexed="81"/>
            <rFont val="Calibri"/>
            <family val="2"/>
          </rPr>
          <t>Chris Russell:</t>
        </r>
        <r>
          <rPr>
            <sz val="9"/>
            <color indexed="81"/>
            <rFont val="Calibri"/>
            <family val="2"/>
          </rPr>
          <t xml:space="preserve">
Names which have shown a minimal level of engagement (click, web visit, etc…) 
and are demographically qualified.  These names may or may not be ready for sales.
</t>
        </r>
      </text>
    </comment>
    <comment ref="E19" authorId="0">
      <text>
        <r>
          <rPr>
            <b/>
            <sz val="9"/>
            <color indexed="81"/>
            <rFont val="Calibri"/>
            <family val="2"/>
          </rPr>
          <t>Chris Russell:</t>
        </r>
        <r>
          <rPr>
            <sz val="9"/>
            <color indexed="81"/>
            <rFont val="Calibri"/>
            <family val="2"/>
          </rPr>
          <t xml:space="preserve">
MQLs are Marketing Qualified Leads which have been passed to a lead qualification rep (SDR) with the exceptation that follow up will be completed in a set period of time.</t>
        </r>
      </text>
    </comment>
    <comment ref="E25" authorId="0">
      <text>
        <r>
          <rPr>
            <b/>
            <sz val="9"/>
            <color indexed="81"/>
            <rFont val="Calibri"/>
            <family val="2"/>
          </rPr>
          <t>Chris Russell:</t>
        </r>
        <r>
          <rPr>
            <sz val="9"/>
            <color indexed="81"/>
            <rFont val="Calibri"/>
            <family val="2"/>
          </rPr>
          <t xml:space="preserve">
SALs are Sales Accepted Leads which have been qualified by an lead qualification rep (SDR) and have been assigned to an account executve.</t>
        </r>
      </text>
    </comment>
    <comment ref="E32" authorId="0">
      <text>
        <r>
          <rPr>
            <b/>
            <sz val="9"/>
            <color indexed="81"/>
            <rFont val="Calibri"/>
            <family val="2"/>
          </rPr>
          <t>Chris Russell:</t>
        </r>
        <r>
          <rPr>
            <sz val="9"/>
            <color indexed="81"/>
            <rFont val="Calibri"/>
            <family val="2"/>
          </rPr>
          <t xml:space="preserve">
SALs are Sales Accepted Leads that have been qualified by an account executive and are now "opportunities" in your CRM. Fields in this section calculate the number of opportunities required to your goal.</t>
        </r>
      </text>
    </comment>
    <comment ref="E39" authorId="0">
      <text>
        <r>
          <rPr>
            <b/>
            <sz val="9"/>
            <color indexed="81"/>
            <rFont val="Calibri"/>
            <family val="2"/>
          </rPr>
          <t>Chris Russell:</t>
        </r>
        <r>
          <rPr>
            <sz val="9"/>
            <color indexed="81"/>
            <rFont val="Calibri"/>
            <family val="2"/>
          </rPr>
          <t xml:space="preserve">
SALs are Sales Accepted Leads that have been qualified by an account executive and are now "opportunities" in your CRM. Fields in this section calculate the dollar value of opportunities required to your goal.</t>
        </r>
      </text>
    </comment>
    <comment ref="E46" authorId="0">
      <text>
        <r>
          <rPr>
            <b/>
            <sz val="9"/>
            <color indexed="81"/>
            <rFont val="Calibri"/>
            <family val="2"/>
          </rPr>
          <t>Chris Russell:</t>
        </r>
        <r>
          <rPr>
            <sz val="9"/>
            <color indexed="81"/>
            <rFont val="Calibri"/>
            <family val="2"/>
          </rPr>
          <t xml:space="preserve">
Closed Won - # of Deals represents the number of closed won opps needed to meet revenue goal.</t>
        </r>
      </text>
    </comment>
    <comment ref="E53" authorId="0">
      <text>
        <r>
          <rPr>
            <b/>
            <sz val="9"/>
            <color indexed="81"/>
            <rFont val="Calibri"/>
            <family val="2"/>
          </rPr>
          <t>Chris Russell:</t>
        </r>
        <r>
          <rPr>
            <sz val="9"/>
            <color indexed="81"/>
            <rFont val="Calibri"/>
            <family val="2"/>
          </rPr>
          <t xml:space="preserve">
Closed Won - # of Deals represents the $ value of closed won opps needed to meet revenue goal.</t>
        </r>
      </text>
    </comment>
  </commentList>
</comments>
</file>

<file path=xl/comments3.xml><?xml version="1.0" encoding="utf-8"?>
<comments xmlns="http://schemas.openxmlformats.org/spreadsheetml/2006/main">
  <authors>
    <author>Chris Russell</author>
  </authors>
  <commentList>
    <comment ref="A3" authorId="0">
      <text>
        <r>
          <rPr>
            <b/>
            <sz val="9"/>
            <color indexed="81"/>
            <rFont val="Calibri"/>
            <family val="2"/>
          </rPr>
          <t>Chris Russell:</t>
        </r>
        <r>
          <rPr>
            <sz val="9"/>
            <color indexed="81"/>
            <rFont val="Calibri"/>
            <family val="2"/>
          </rPr>
          <t xml:space="preserve">
Most lead qualification reps (SDRs) are either measured on # of opportunities they create or the number of leads they qualify/meetings they schedule.  Please select which your organization measures for SDR comp and the table at right will automatically update to show you that metric.</t>
        </r>
      </text>
    </comment>
    <comment ref="A5" authorId="0">
      <text>
        <r>
          <rPr>
            <b/>
            <sz val="9"/>
            <color indexed="81"/>
            <rFont val="Calibri"/>
            <family val="2"/>
          </rPr>
          <t>Chris Russell:</t>
        </r>
        <r>
          <rPr>
            <sz val="9"/>
            <color indexed="81"/>
            <rFont val="Calibri"/>
            <family val="2"/>
          </rPr>
          <t xml:space="preserve">
Would you like to round pipeline $'s and bookings $'s to the nearest $1, $100, $1000, $10000, $100000, $100000000?
</t>
        </r>
      </text>
    </comment>
    <comment ref="A7" authorId="0">
      <text>
        <r>
          <rPr>
            <b/>
            <sz val="9"/>
            <color indexed="81"/>
            <rFont val="Calibri"/>
            <family val="2"/>
          </rPr>
          <t>Chris Russell:</t>
        </r>
        <r>
          <rPr>
            <sz val="9"/>
            <color indexed="81"/>
            <rFont val="Calibri"/>
            <family val="2"/>
          </rPr>
          <t xml:space="preserve">
It's a common practices to distribute more quota per rep than is required to meet company targets.  Add in a percentage over 100% if you would like to account for this.  Ex: 110% - this would raise the calculations per rep on the right by 10% over models numbers from the previous sheet.
</t>
        </r>
      </text>
    </comment>
  </commentList>
</comments>
</file>

<file path=xl/sharedStrings.xml><?xml version="1.0" encoding="utf-8"?>
<sst xmlns="http://schemas.openxmlformats.org/spreadsheetml/2006/main" count="214" uniqueCount="75">
  <si>
    <t>Prospects</t>
  </si>
  <si>
    <t>Inbound - Organic</t>
  </si>
  <si>
    <t>Inbound - Paid</t>
  </si>
  <si>
    <t>Marketing Outbound</t>
  </si>
  <si>
    <t>Referrals</t>
  </si>
  <si>
    <t>Sales Outbound</t>
  </si>
  <si>
    <t>MQLs (Assigned to SDR)</t>
  </si>
  <si>
    <t>New Names</t>
  </si>
  <si>
    <t>Pipeline Contribution by Source</t>
  </si>
  <si>
    <t>Pipeline Contribution Summary</t>
  </si>
  <si>
    <t>%</t>
  </si>
  <si>
    <t>Closed Won - $</t>
  </si>
  <si>
    <t>Closed Won - # of Deals</t>
  </si>
  <si>
    <t>Total New Bookings Goal for Next Year</t>
  </si>
  <si>
    <t>Marketing's New Bookings Goal</t>
  </si>
  <si>
    <t>Monthly Growth Rate Goal</t>
  </si>
  <si>
    <t>Average Sales Price</t>
  </si>
  <si>
    <t>Average Name to Opp Cycle (Months)</t>
  </si>
  <si>
    <t>Average Sales Cycle (Months)</t>
  </si>
  <si>
    <t>Raw Growth Rate Multiplier by Month</t>
  </si>
  <si>
    <t>Raw Growth Rate Multiplier Adjusted for Seasonality</t>
  </si>
  <si>
    <t>Conversion Rate Into Stage</t>
  </si>
  <si>
    <t>N/A</t>
  </si>
  <si>
    <t xml:space="preserve">Annual Marketing Program Budget </t>
  </si>
  <si>
    <t>Average Cost Per Name</t>
  </si>
  <si>
    <t>Average Cost Per Prospect</t>
  </si>
  <si>
    <t>Average Cost Per MQL</t>
  </si>
  <si>
    <t>Average Cost Per Opp</t>
  </si>
  <si>
    <t>Average Cost Per Customer</t>
  </si>
  <si>
    <t>% Marketing Contribution</t>
  </si>
  <si>
    <t>Suggested Monthly Budget</t>
  </si>
  <si>
    <t>SALs (Opp #)</t>
  </si>
  <si>
    <t>SALs (Pipeline $)</t>
  </si>
  <si>
    <t>SQLs (SDR Qual'd)</t>
  </si>
  <si>
    <t>SQLs (AE Meetings/SDR Qualified Leads)</t>
  </si>
  <si>
    <t>SALs (AE Qualified/Opps)</t>
  </si>
  <si>
    <t>We Measure SDRs on:</t>
  </si>
  <si>
    <t>New Opps Per AE</t>
  </si>
  <si>
    <r>
      <rPr>
        <b/>
        <sz val="12"/>
        <color theme="1"/>
        <rFont val="Calibri"/>
        <family val="2"/>
        <scheme val="minor"/>
      </rPr>
      <t>Total SDR Headcount</t>
    </r>
    <r>
      <rPr>
        <sz val="12"/>
        <color theme="1"/>
        <rFont val="Calibri"/>
        <family val="2"/>
        <scheme val="minor"/>
      </rPr>
      <t xml:space="preserve"> 
(Add decimals for SDRs not on full quota)</t>
    </r>
  </si>
  <si>
    <t>New Pipeline Per AE</t>
  </si>
  <si>
    <t>Closed Won $ Per AE</t>
  </si>
  <si>
    <t>Closed Won Deals per AE</t>
  </si>
  <si>
    <t>Annual Goals Per Resource</t>
  </si>
  <si>
    <t>With Seasonality (Matches Model)</t>
  </si>
  <si>
    <t>Round $'s to the Nearest:</t>
  </si>
  <si>
    <r>
      <t xml:space="preserve">Total AE Headcount
</t>
    </r>
    <r>
      <rPr>
        <sz val="12"/>
        <color theme="1"/>
        <rFont val="Calibri"/>
        <family val="2"/>
        <scheme val="minor"/>
      </rPr>
      <t>(Add decimals for AE's not on full quota)</t>
    </r>
  </si>
  <si>
    <t>SDR Growth Rate Calc</t>
  </si>
  <si>
    <t>Adjusted SDR Growth Rate Calc</t>
  </si>
  <si>
    <t>AE New Opps Growth Rate Calc</t>
  </si>
  <si>
    <t>Adjusted AE New Opps Growth Rate Calc</t>
  </si>
  <si>
    <t>AE Closed Won Deals Growth Rate Calc</t>
  </si>
  <si>
    <t>Adjusted AR Closed Won Deals Growth Rate Calc</t>
  </si>
  <si>
    <t>Avg of Seasonality and 5% Monthly Growth Rate</t>
  </si>
  <si>
    <t>Opps &amp; $'s Per AE</t>
  </si>
  <si>
    <t xml:space="preserve">IGNORE - Formating </t>
  </si>
  <si>
    <t>IGNORE - Calculation Tables</t>
  </si>
  <si>
    <t>IGNORE - Formating</t>
  </si>
  <si>
    <t>Annual Cost Per X Analysis</t>
  </si>
  <si>
    <t>Actual Budget</t>
  </si>
  <si>
    <t>Actual Cost Per New Name</t>
  </si>
  <si>
    <t>Round All $'s to the Nearest:</t>
  </si>
  <si>
    <t>Annual Totals for X</t>
  </si>
  <si>
    <t>IGNORE, for Calculaitons only --&gt;&gt;</t>
  </si>
  <si>
    <r>
      <t xml:space="preserve">Update the Yellow Cells to Automatically Create a 12 Month Marketing Plan.  Start Here </t>
    </r>
    <r>
      <rPr>
        <b/>
        <sz val="14"/>
        <color theme="0"/>
        <rFont val="Wingdings"/>
      </rPr>
      <t></t>
    </r>
  </si>
  <si>
    <t>IGNORE - Formatting Waterfall</t>
  </si>
  <si>
    <r>
      <rPr>
        <sz val="12"/>
        <color theme="0"/>
        <rFont val="Calibri"/>
        <family val="2"/>
        <scheme val="minor"/>
      </rPr>
      <t>Follow the Green to See Your Waterfall</t>
    </r>
    <r>
      <rPr>
        <sz val="12"/>
        <color rgb="FFCCFFCC"/>
        <rFont val="Calibri"/>
        <family val="2"/>
        <scheme val="minor"/>
      </rPr>
      <t xml:space="preserve"> </t>
    </r>
    <r>
      <rPr>
        <sz val="12"/>
        <color rgb="FFCCFFCC"/>
        <rFont val="Wingdings"/>
      </rPr>
      <t></t>
    </r>
  </si>
  <si>
    <r>
      <t xml:space="preserve">Update Yellow Cells to Automatically Calculate Monthly SDR &amp; AE Goals Per Rep. Start Here </t>
    </r>
    <r>
      <rPr>
        <b/>
        <sz val="14"/>
        <color theme="0"/>
        <rFont val="Wingdings"/>
      </rPr>
      <t></t>
    </r>
  </si>
  <si>
    <t>Description of Seasonality &amp; Targets</t>
  </si>
  <si>
    <t>Padding Desired Over Co. Targets:</t>
  </si>
  <si>
    <t>Without Seasonality &amp; Without Monthly Growth</t>
  </si>
  <si>
    <t xml:space="preserve">This sheet offers 4 options for setting SDR &amp; AE Targets:
1) With Seasonality - these number are taken directly from the model on the previous sheet. Better for companies with quarterly targets, balanced contributions by source, or with dramatic seasonality such as big annual events with oversized pipeline impacts.
2) Without Seasonality &amp; WIthout Monthly Growth - Total bookings goal divided by number of reps, divided by 12 months.  This is best for organizations which are not growing, do not have dramatic seasonality, or organizations with large salesforces whose monthly hiring evenly offsets growth.  This is the most straightforward to present to sales.
3) Without Seasonality but with a X% Monthly Growth Rate - This calculation determines the number of SALs, SQLs, or Closed Won Deals by month given the monthly growth rate defined in B7 on the previous sheet.  It does not take seasonality into account.  Best for smaller companies who want to keep it simple, but also want to factor in growth.
4) Avg of Seasonality and 5% Monthly Growth Rate - this calculation softens the peaks and values of seasonality by averaging the calacuations from 1 &amp; 3.  A compromise!  
</t>
  </si>
  <si>
    <t>offsets validation</t>
  </si>
  <si>
    <r>
      <t xml:space="preserve">Update the Yellow Cells to Automatically Create a 12 Month Marketing Plan Tied to Company Revenue Goals. Start Here </t>
    </r>
    <r>
      <rPr>
        <b/>
        <sz val="14"/>
        <color theme="0"/>
        <rFont val="Wingdings"/>
      </rPr>
      <t></t>
    </r>
  </si>
  <si>
    <r>
      <rPr>
        <b/>
        <sz val="12"/>
        <color theme="0"/>
        <rFont val="Calibri"/>
        <family val="2"/>
        <scheme val="minor"/>
      </rPr>
      <t>Seasonality Contribution</t>
    </r>
    <r>
      <rPr>
        <sz val="12"/>
        <color theme="0"/>
        <rFont val="Calibri"/>
        <family val="2"/>
        <scheme val="minor"/>
      </rPr>
      <t xml:space="preserve"> (Out of 100), adjust based on seasonality of your co.</t>
    </r>
  </si>
  <si>
    <t xml:space="preserve">Rather than a bottom up approach which calulates backwards from revenue tagets, this model pulls in the calculaitons from the previous sheet, but also also you to adjust the new names # to answer questions such as: How much more incremental revenue would I get from 1000 more new names?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</si>
</sst>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quot;$&quot;* #,##0_);_(&quot;$&quot;* \(#,##0\);_(&quot;$&quot;* &quot;-&quot;??_);_(@_)"/>
    <numFmt numFmtId="165" formatCode="0.0000"/>
    <numFmt numFmtId="166" formatCode="_(* #,##0_);_(* \(#,##0\);_(* &quot;-&quot;??_);_(@_)"/>
    <numFmt numFmtId="167" formatCode="[$-409]mmm\-yy;@"/>
  </numFmts>
  <fonts count="16" x14ac:knownFonts="1">
    <font>
      <sz val="12"/>
      <color theme="1"/>
      <name val="Calibri"/>
      <family val="2"/>
      <scheme val="minor"/>
    </font>
    <font>
      <sz val="12"/>
      <color theme="1"/>
      <name val="Calibri"/>
      <family val="2"/>
      <scheme val="minor"/>
    </font>
    <font>
      <b/>
      <sz val="12"/>
      <color theme="0"/>
      <name val="Calibri"/>
      <family val="2"/>
      <scheme val="minor"/>
    </font>
    <font>
      <b/>
      <sz val="12"/>
      <color theme="1"/>
      <name val="Calibri"/>
      <family val="2"/>
      <scheme val="minor"/>
    </font>
    <font>
      <sz val="12"/>
      <color theme="0"/>
      <name val="Calibri"/>
      <family val="2"/>
      <scheme val="minor"/>
    </font>
    <font>
      <u/>
      <sz val="12"/>
      <color theme="10"/>
      <name val="Calibri"/>
      <family val="2"/>
      <scheme val="minor"/>
    </font>
    <font>
      <u/>
      <sz val="12"/>
      <color theme="11"/>
      <name val="Calibri"/>
      <family val="2"/>
      <scheme val="minor"/>
    </font>
    <font>
      <sz val="9"/>
      <color indexed="81"/>
      <name val="Calibri"/>
      <family val="2"/>
    </font>
    <font>
      <b/>
      <sz val="9"/>
      <color indexed="81"/>
      <name val="Calibri"/>
      <family val="2"/>
    </font>
    <font>
      <b/>
      <sz val="12"/>
      <color rgb="FF008000"/>
      <name val="Calibri"/>
      <scheme val="minor"/>
    </font>
    <font>
      <sz val="12"/>
      <color rgb="FF008000"/>
      <name val="Calibri"/>
      <scheme val="minor"/>
    </font>
    <font>
      <b/>
      <sz val="14"/>
      <color theme="0"/>
      <name val="Calibri"/>
      <scheme val="minor"/>
    </font>
    <font>
      <sz val="12"/>
      <name val="Calibri"/>
      <scheme val="minor"/>
    </font>
    <font>
      <b/>
      <sz val="14"/>
      <color theme="0"/>
      <name val="Wingdings"/>
    </font>
    <font>
      <sz val="12"/>
      <color rgb="FFCCFFCC"/>
      <name val="Wingdings"/>
    </font>
    <font>
      <sz val="12"/>
      <color rgb="FFCCFFCC"/>
      <name val="Calibri"/>
      <family val="2"/>
      <scheme val="minor"/>
    </font>
  </fonts>
  <fills count="9">
    <fill>
      <patternFill patternType="none"/>
    </fill>
    <fill>
      <patternFill patternType="gray125"/>
    </fill>
    <fill>
      <patternFill patternType="solid">
        <fgColor theme="1"/>
        <bgColor indexed="64"/>
      </patternFill>
    </fill>
    <fill>
      <patternFill patternType="solid">
        <fgColor theme="3" tint="0.39997558519241921"/>
        <bgColor indexed="64"/>
      </patternFill>
    </fill>
    <fill>
      <patternFill patternType="solid">
        <fgColor theme="0" tint="-0.249977111117893"/>
        <bgColor indexed="64"/>
      </patternFill>
    </fill>
    <fill>
      <patternFill patternType="solid">
        <fgColor rgb="FF008000"/>
        <bgColor indexed="64"/>
      </patternFill>
    </fill>
    <fill>
      <patternFill patternType="solid">
        <fgColor rgb="FFFFFF00"/>
        <bgColor indexed="64"/>
      </patternFill>
    </fill>
    <fill>
      <patternFill patternType="solid">
        <fgColor rgb="FFFF0000"/>
        <bgColor indexed="64"/>
      </patternFill>
    </fill>
    <fill>
      <patternFill patternType="solid">
        <fgColor rgb="FFCCFFCC"/>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s>
  <cellStyleXfs count="79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133">
    <xf numFmtId="0" fontId="0" fillId="0" borderId="0" xfId="0"/>
    <xf numFmtId="0" fontId="0" fillId="0" borderId="0" xfId="0" applyAlignment="1">
      <alignment horizontal="left" indent="1"/>
    </xf>
    <xf numFmtId="9" fontId="0" fillId="0" borderId="0" xfId="3" applyFont="1"/>
    <xf numFmtId="0" fontId="4" fillId="2" borderId="0" xfId="0" applyFont="1" applyFill="1"/>
    <xf numFmtId="44" fontId="4" fillId="2" borderId="0" xfId="2" applyFont="1" applyFill="1"/>
    <xf numFmtId="9" fontId="4" fillId="2" borderId="0" xfId="0" applyNumberFormat="1" applyFont="1" applyFill="1"/>
    <xf numFmtId="164" fontId="0" fillId="0" borderId="0" xfId="0" applyNumberFormat="1"/>
    <xf numFmtId="165" fontId="4" fillId="2" borderId="0" xfId="0" applyNumberFormat="1" applyFont="1" applyFill="1"/>
    <xf numFmtId="0" fontId="0" fillId="0" borderId="0" xfId="0" applyAlignment="1">
      <alignment wrapText="1"/>
    </xf>
    <xf numFmtId="0" fontId="4" fillId="2" borderId="0" xfId="0" applyFont="1" applyFill="1" applyAlignment="1">
      <alignment horizontal="center"/>
    </xf>
    <xf numFmtId="164" fontId="0" fillId="0" borderId="0" xfId="2" applyNumberFormat="1" applyFont="1"/>
    <xf numFmtId="0" fontId="2" fillId="3" borderId="0" xfId="0" applyFont="1" applyFill="1"/>
    <xf numFmtId="0" fontId="4" fillId="3" borderId="0" xfId="0" applyFont="1" applyFill="1"/>
    <xf numFmtId="164" fontId="4" fillId="3" borderId="0" xfId="0" applyNumberFormat="1" applyFont="1" applyFill="1"/>
    <xf numFmtId="9" fontId="4" fillId="3" borderId="0" xfId="3" applyFont="1" applyFill="1"/>
    <xf numFmtId="166" fontId="4" fillId="3" borderId="0" xfId="1" applyNumberFormat="1" applyFont="1" applyFill="1"/>
    <xf numFmtId="0" fontId="4" fillId="2" borderId="0" xfId="0" applyFont="1" applyFill="1" applyAlignment="1">
      <alignment horizontal="left"/>
    </xf>
    <xf numFmtId="0" fontId="3" fillId="0" borderId="0" xfId="0" applyFont="1" applyAlignment="1">
      <alignment horizontal="left" indent="1"/>
    </xf>
    <xf numFmtId="0" fontId="3" fillId="0" borderId="0" xfId="0" applyFont="1" applyAlignment="1">
      <alignment wrapText="1"/>
    </xf>
    <xf numFmtId="0" fontId="0" fillId="0" borderId="0" xfId="0" applyFill="1"/>
    <xf numFmtId="0" fontId="4" fillId="4" borderId="0" xfId="0" applyFont="1" applyFill="1"/>
    <xf numFmtId="166" fontId="4" fillId="4" borderId="0" xfId="1" applyNumberFormat="1" applyFont="1" applyFill="1"/>
    <xf numFmtId="164" fontId="4" fillId="4" borderId="0" xfId="2" applyNumberFormat="1" applyFont="1" applyFill="1"/>
    <xf numFmtId="164" fontId="4" fillId="4" borderId="0" xfId="0" applyNumberFormat="1" applyFont="1" applyFill="1"/>
    <xf numFmtId="0" fontId="0" fillId="3" borderId="0" xfId="0" applyFill="1" applyAlignment="1">
      <alignment horizontal="left" indent="1"/>
    </xf>
    <xf numFmtId="0" fontId="2" fillId="3" borderId="0" xfId="0" applyFont="1" applyFill="1" applyAlignment="1">
      <alignment wrapText="1"/>
    </xf>
    <xf numFmtId="0" fontId="0" fillId="3" borderId="0" xfId="0" applyFill="1" applyAlignment="1">
      <alignment horizontal="center"/>
    </xf>
    <xf numFmtId="0" fontId="0" fillId="4" borderId="0" xfId="0" applyFill="1" applyAlignment="1">
      <alignment horizontal="left" indent="1"/>
    </xf>
    <xf numFmtId="0" fontId="0" fillId="4" borderId="0" xfId="0" applyFill="1"/>
    <xf numFmtId="0" fontId="3" fillId="4" borderId="0" xfId="0" applyFont="1" applyFill="1"/>
    <xf numFmtId="9" fontId="0" fillId="4" borderId="0" xfId="3" applyFont="1" applyFill="1"/>
    <xf numFmtId="0" fontId="9" fillId="0" borderId="0" xfId="0" applyFont="1"/>
    <xf numFmtId="44" fontId="10" fillId="0" borderId="0" xfId="0" applyNumberFormat="1" applyFont="1"/>
    <xf numFmtId="9" fontId="0" fillId="6" borderId="1" xfId="3" applyFont="1" applyFill="1" applyBorder="1"/>
    <xf numFmtId="44" fontId="0" fillId="0" borderId="0" xfId="2" applyFont="1" applyFill="1" applyBorder="1"/>
    <xf numFmtId="9" fontId="0" fillId="0" borderId="0" xfId="3" applyFont="1" applyFill="1" applyBorder="1"/>
    <xf numFmtId="44" fontId="4" fillId="0" borderId="0" xfId="2" applyFont="1" applyFill="1" applyBorder="1"/>
    <xf numFmtId="0" fontId="4" fillId="0" borderId="0" xfId="0" applyFont="1" applyFill="1" applyBorder="1"/>
    <xf numFmtId="9" fontId="0" fillId="0" borderId="0" xfId="3" applyFont="1" applyFill="1" applyBorder="1" applyAlignment="1">
      <alignment horizontal="left" indent="1"/>
    </xf>
    <xf numFmtId="44" fontId="0" fillId="0" borderId="0" xfId="2" applyFont="1" applyFill="1" applyBorder="1" applyAlignment="1">
      <alignment horizontal="left" indent="1"/>
    </xf>
    <xf numFmtId="0" fontId="0" fillId="0" borderId="0" xfId="0" applyFill="1" applyBorder="1"/>
    <xf numFmtId="44" fontId="4" fillId="0" borderId="0" xfId="0" applyNumberFormat="1" applyFont="1" applyFill="1" applyBorder="1"/>
    <xf numFmtId="0" fontId="0" fillId="0" borderId="0" xfId="0" applyBorder="1"/>
    <xf numFmtId="9" fontId="0" fillId="6" borderId="11" xfId="3" applyFont="1" applyFill="1" applyBorder="1"/>
    <xf numFmtId="0" fontId="0" fillId="4" borderId="10" xfId="0" applyFill="1" applyBorder="1"/>
    <xf numFmtId="0" fontId="0" fillId="4" borderId="11" xfId="0" applyFill="1" applyBorder="1"/>
    <xf numFmtId="0" fontId="2" fillId="3" borderId="8" xfId="0" applyFont="1" applyFill="1" applyBorder="1"/>
    <xf numFmtId="0" fontId="2" fillId="3" borderId="10" xfId="0" applyFont="1" applyFill="1" applyBorder="1"/>
    <xf numFmtId="0" fontId="2" fillId="3" borderId="10" xfId="0" applyFont="1" applyFill="1" applyBorder="1" applyAlignment="1">
      <alignment horizontal="left" indent="1"/>
    </xf>
    <xf numFmtId="0" fontId="2" fillId="5" borderId="2" xfId="0" applyFont="1" applyFill="1" applyBorder="1"/>
    <xf numFmtId="44" fontId="10" fillId="0" borderId="5" xfId="0" applyNumberFormat="1" applyFont="1" applyFill="1" applyBorder="1"/>
    <xf numFmtId="44" fontId="10" fillId="0" borderId="7" xfId="0" applyNumberFormat="1" applyFont="1" applyFill="1" applyBorder="1"/>
    <xf numFmtId="0" fontId="9" fillId="0" borderId="4" xfId="0" applyFont="1" applyFill="1" applyBorder="1" applyAlignment="1">
      <alignment horizontal="left" indent="1"/>
    </xf>
    <xf numFmtId="0" fontId="9" fillId="0" borderId="6" xfId="0" applyFont="1" applyFill="1" applyBorder="1" applyAlignment="1">
      <alignment horizontal="left" indent="1"/>
    </xf>
    <xf numFmtId="0" fontId="2" fillId="3" borderId="0" xfId="0" applyFont="1" applyFill="1" applyAlignment="1">
      <alignment horizontal="center" wrapText="1"/>
    </xf>
    <xf numFmtId="9" fontId="12" fillId="6" borderId="11" xfId="3" applyFont="1" applyFill="1" applyBorder="1" applyAlignment="1">
      <alignment horizontal="right" indent="1"/>
    </xf>
    <xf numFmtId="44" fontId="1" fillId="6" borderId="9" xfId="2" applyFont="1" applyFill="1" applyBorder="1"/>
    <xf numFmtId="9" fontId="1" fillId="6" borderId="11" xfId="3" applyFont="1" applyFill="1" applyBorder="1"/>
    <xf numFmtId="164" fontId="4" fillId="3" borderId="11" xfId="2" applyNumberFormat="1" applyFont="1" applyFill="1" applyBorder="1"/>
    <xf numFmtId="0" fontId="0" fillId="4" borderId="11" xfId="0" applyFont="1" applyFill="1" applyBorder="1"/>
    <xf numFmtId="0" fontId="4" fillId="3" borderId="11" xfId="0" applyFont="1" applyFill="1" applyBorder="1"/>
    <xf numFmtId="9" fontId="1" fillId="6" borderId="11" xfId="3" applyFont="1" applyFill="1" applyBorder="1" applyAlignment="1">
      <alignment horizontal="right" indent="1"/>
    </xf>
    <xf numFmtId="9" fontId="4" fillId="3" borderId="11" xfId="3" applyFont="1" applyFill="1" applyBorder="1" applyAlignment="1">
      <alignment horizontal="right" indent="1"/>
    </xf>
    <xf numFmtId="44" fontId="1" fillId="6" borderId="11" xfId="2" applyFont="1" applyFill="1" applyBorder="1" applyAlignment="1">
      <alignment horizontal="left" indent="1"/>
    </xf>
    <xf numFmtId="0" fontId="0" fillId="6" borderId="11" xfId="0" applyFont="1" applyFill="1" applyBorder="1"/>
    <xf numFmtId="9" fontId="0" fillId="6" borderId="0" xfId="3" applyFont="1" applyFill="1"/>
    <xf numFmtId="9" fontId="12" fillId="6" borderId="0" xfId="3" applyFont="1" applyFill="1"/>
    <xf numFmtId="0" fontId="0" fillId="3" borderId="11" xfId="0" applyFill="1" applyBorder="1" applyAlignment="1">
      <alignment horizontal="center"/>
    </xf>
    <xf numFmtId="166" fontId="4" fillId="3" borderId="11" xfId="1" applyNumberFormat="1" applyFont="1" applyFill="1" applyBorder="1"/>
    <xf numFmtId="1" fontId="0" fillId="0" borderId="0" xfId="0" applyNumberFormat="1"/>
    <xf numFmtId="0" fontId="3" fillId="0" borderId="0" xfId="0" applyFont="1" applyAlignment="1">
      <alignment horizontal="left"/>
    </xf>
    <xf numFmtId="0" fontId="2" fillId="3" borderId="0" xfId="0" applyFont="1" applyFill="1" applyAlignment="1"/>
    <xf numFmtId="1" fontId="2" fillId="3" borderId="0" xfId="0" applyNumberFormat="1" applyFont="1" applyFill="1" applyAlignment="1">
      <alignment wrapText="1"/>
    </xf>
    <xf numFmtId="164" fontId="2" fillId="3" borderId="0" xfId="2" applyNumberFormat="1" applyFont="1" applyFill="1" applyAlignment="1">
      <alignment wrapText="1"/>
    </xf>
    <xf numFmtId="164" fontId="2" fillId="3" borderId="0" xfId="0" applyNumberFormat="1" applyFont="1" applyFill="1" applyAlignment="1">
      <alignment wrapText="1"/>
    </xf>
    <xf numFmtId="0" fontId="2" fillId="3" borderId="8" xfId="0" applyFont="1" applyFill="1" applyBorder="1" applyAlignment="1"/>
    <xf numFmtId="0" fontId="0" fillId="4" borderId="10" xfId="0" applyFill="1" applyBorder="1" applyAlignment="1">
      <alignment horizontal="left" indent="1"/>
    </xf>
    <xf numFmtId="0" fontId="0" fillId="4" borderId="11" xfId="0" applyFill="1" applyBorder="1" applyAlignment="1">
      <alignment horizontal="left" indent="1"/>
    </xf>
    <xf numFmtId="0" fontId="2" fillId="3" borderId="10" xfId="0" applyFont="1" applyFill="1" applyBorder="1" applyAlignment="1"/>
    <xf numFmtId="44" fontId="0" fillId="6" borderId="11" xfId="2" applyFont="1" applyFill="1" applyBorder="1"/>
    <xf numFmtId="0" fontId="0" fillId="4" borderId="12" xfId="0" applyFill="1" applyBorder="1" applyAlignment="1">
      <alignment horizontal="left" indent="1"/>
    </xf>
    <xf numFmtId="0" fontId="0" fillId="4" borderId="13" xfId="0" applyFill="1" applyBorder="1" applyAlignment="1">
      <alignment horizontal="left" indent="1"/>
    </xf>
    <xf numFmtId="0" fontId="2" fillId="2" borderId="0" xfId="0" applyFont="1" applyFill="1"/>
    <xf numFmtId="0" fontId="2" fillId="2" borderId="0" xfId="0" applyFont="1" applyFill="1" applyAlignment="1">
      <alignment horizontal="left"/>
    </xf>
    <xf numFmtId="0" fontId="2" fillId="4" borderId="0" xfId="0" applyFont="1" applyFill="1"/>
    <xf numFmtId="17" fontId="2" fillId="3" borderId="0" xfId="0" applyNumberFormat="1" applyFont="1" applyFill="1" applyAlignment="1">
      <alignment horizontal="center" wrapText="1"/>
    </xf>
    <xf numFmtId="17" fontId="4" fillId="4" borderId="0" xfId="0" applyNumberFormat="1" applyFont="1" applyFill="1" applyAlignment="1">
      <alignment horizontal="center"/>
    </xf>
    <xf numFmtId="44" fontId="10" fillId="6" borderId="0" xfId="0" applyNumberFormat="1" applyFont="1" applyFill="1"/>
    <xf numFmtId="44" fontId="1" fillId="6" borderId="11" xfId="2" applyFont="1" applyFill="1" applyBorder="1"/>
    <xf numFmtId="0" fontId="2" fillId="3" borderId="12" xfId="0" applyFont="1" applyFill="1" applyBorder="1" applyAlignment="1"/>
    <xf numFmtId="164" fontId="0" fillId="6" borderId="13" xfId="2" applyNumberFormat="1" applyFont="1" applyFill="1" applyBorder="1"/>
    <xf numFmtId="9" fontId="4" fillId="3" borderId="0" xfId="3" applyNumberFormat="1" applyFont="1" applyFill="1"/>
    <xf numFmtId="0" fontId="3" fillId="0" borderId="4" xfId="0" applyFont="1" applyFill="1" applyBorder="1" applyAlignment="1">
      <alignment horizontal="left" indent="1"/>
    </xf>
    <xf numFmtId="0" fontId="3" fillId="0" borderId="4" xfId="0" applyFont="1" applyBorder="1" applyAlignment="1">
      <alignment horizontal="left" indent="1"/>
    </xf>
    <xf numFmtId="166" fontId="0" fillId="0" borderId="5" xfId="0" applyNumberFormat="1" applyFont="1" applyBorder="1"/>
    <xf numFmtId="164" fontId="0" fillId="0" borderId="5" xfId="0" applyNumberFormat="1" applyFont="1" applyBorder="1"/>
    <xf numFmtId="166" fontId="0" fillId="0" borderId="5" xfId="1" applyNumberFormat="1" applyFont="1" applyBorder="1"/>
    <xf numFmtId="166" fontId="0" fillId="0" borderId="0" xfId="1" applyNumberFormat="1" applyFont="1"/>
    <xf numFmtId="166" fontId="0" fillId="0" borderId="11" xfId="1" applyNumberFormat="1" applyFont="1" applyBorder="1"/>
    <xf numFmtId="2" fontId="0" fillId="6" borderId="0" xfId="0" applyNumberFormat="1" applyFill="1" applyAlignment="1">
      <alignment vertical="center"/>
    </xf>
    <xf numFmtId="2" fontId="0" fillId="6" borderId="0" xfId="0" applyNumberFormat="1" applyFill="1" applyAlignment="1">
      <alignment horizontal="center" vertical="center"/>
    </xf>
    <xf numFmtId="0" fontId="3" fillId="0" borderId="6" xfId="0" applyFont="1" applyBorder="1" applyAlignment="1">
      <alignment horizontal="left" indent="1"/>
    </xf>
    <xf numFmtId="164" fontId="0" fillId="0" borderId="7" xfId="0" applyNumberFormat="1" applyFont="1" applyBorder="1"/>
    <xf numFmtId="0" fontId="4" fillId="5" borderId="3" xfId="0" applyFont="1" applyFill="1" applyBorder="1"/>
    <xf numFmtId="0" fontId="2" fillId="3" borderId="2" xfId="0" applyFont="1" applyFill="1" applyBorder="1" applyAlignment="1">
      <alignment horizontal="left"/>
    </xf>
    <xf numFmtId="0" fontId="4" fillId="3" borderId="3" xfId="0" applyFont="1" applyFill="1" applyBorder="1"/>
    <xf numFmtId="167" fontId="2" fillId="3" borderId="0" xfId="0" applyNumberFormat="1" applyFont="1" applyFill="1" applyAlignment="1">
      <alignment horizontal="center" wrapText="1"/>
    </xf>
    <xf numFmtId="0" fontId="0" fillId="0" borderId="0" xfId="0" applyAlignment="1">
      <alignment vertical="top" wrapText="1"/>
    </xf>
    <xf numFmtId="166" fontId="10" fillId="8" borderId="0" xfId="1" applyNumberFormat="1" applyFont="1" applyFill="1" applyBorder="1"/>
    <xf numFmtId="0" fontId="0" fillId="6" borderId="9" xfId="0" applyFill="1" applyBorder="1" applyAlignment="1">
      <alignment horizontal="right" wrapText="1"/>
    </xf>
    <xf numFmtId="166" fontId="0" fillId="0" borderId="0" xfId="1" applyNumberFormat="1" applyFont="1" applyFill="1" applyAlignment="1">
      <alignment horizontal="left" indent="1"/>
    </xf>
    <xf numFmtId="166" fontId="10" fillId="6" borderId="0" xfId="1" applyNumberFormat="1" applyFont="1" applyFill="1" applyBorder="1"/>
    <xf numFmtId="166" fontId="0" fillId="6" borderId="0" xfId="1" applyNumberFormat="1" applyFont="1" applyFill="1"/>
    <xf numFmtId="164" fontId="10" fillId="0" borderId="0" xfId="0" applyNumberFormat="1" applyFont="1" applyAlignment="1">
      <alignment horizontal="left"/>
    </xf>
    <xf numFmtId="164" fontId="10" fillId="6" borderId="0" xfId="0" applyNumberFormat="1" applyFont="1" applyFill="1" applyAlignment="1">
      <alignment horizontal="left"/>
    </xf>
    <xf numFmtId="0" fontId="11" fillId="7" borderId="8" xfId="0" applyFont="1" applyFill="1" applyBorder="1" applyAlignment="1">
      <alignment horizontal="center" wrapText="1"/>
    </xf>
    <xf numFmtId="0" fontId="11" fillId="7" borderId="9" xfId="0" applyFont="1" applyFill="1" applyBorder="1" applyAlignment="1">
      <alignment horizontal="center" wrapText="1"/>
    </xf>
    <xf numFmtId="0" fontId="15" fillId="4" borderId="0" xfId="0" applyFont="1" applyFill="1" applyAlignment="1">
      <alignment horizont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1" xfId="0" applyBorder="1" applyAlignment="1">
      <alignment horizontal="left" vertical="top" wrapText="1"/>
    </xf>
    <xf numFmtId="0" fontId="11" fillId="7" borderId="12" xfId="0" applyFont="1" applyFill="1" applyBorder="1" applyAlignment="1">
      <alignment horizontal="center" wrapText="1"/>
    </xf>
    <xf numFmtId="0" fontId="11" fillId="7" borderId="13" xfId="0" applyFont="1" applyFill="1" applyBorder="1" applyAlignment="1">
      <alignment horizontal="center" wrapText="1"/>
    </xf>
    <xf numFmtId="0" fontId="4" fillId="3" borderId="0" xfId="0" applyFont="1" applyFill="1" applyAlignment="1">
      <alignment horizontal="left"/>
    </xf>
    <xf numFmtId="0" fontId="2" fillId="3" borderId="0" xfId="0" applyFont="1" applyFill="1" applyAlignment="1">
      <alignment horizontal="left" indent="1"/>
    </xf>
    <xf numFmtId="0" fontId="2" fillId="0" borderId="0" xfId="0" applyFont="1" applyFill="1" applyBorder="1" applyAlignment="1">
      <alignment horizontal="left" indent="1"/>
    </xf>
    <xf numFmtId="9" fontId="1" fillId="0" borderId="0" xfId="3" applyFont="1" applyFill="1" applyBorder="1" applyAlignment="1">
      <alignment horizontal="right" indent="1"/>
    </xf>
    <xf numFmtId="0" fontId="12" fillId="0" borderId="16" xfId="0" applyFont="1" applyFill="1" applyBorder="1" applyAlignment="1">
      <alignment horizontal="left" vertical="top" wrapText="1"/>
    </xf>
    <xf numFmtId="0" fontId="12" fillId="0" borderId="17" xfId="0" applyFont="1" applyFill="1" applyBorder="1" applyAlignment="1">
      <alignment horizontal="left" vertical="top" wrapText="1"/>
    </xf>
    <xf numFmtId="0" fontId="12" fillId="0" borderId="18" xfId="0" applyFont="1" applyFill="1" applyBorder="1" applyAlignment="1">
      <alignment horizontal="left" vertical="top" wrapText="1"/>
    </xf>
    <xf numFmtId="0" fontId="12" fillId="0" borderId="19" xfId="0" applyFont="1" applyFill="1" applyBorder="1" applyAlignment="1">
      <alignment horizontal="left" vertical="top" wrapText="1"/>
    </xf>
    <xf numFmtId="0" fontId="12" fillId="0" borderId="20" xfId="0" applyFont="1" applyFill="1" applyBorder="1" applyAlignment="1">
      <alignment horizontal="left" vertical="top" wrapText="1"/>
    </xf>
    <xf numFmtId="0" fontId="12" fillId="0" borderId="21" xfId="0" applyFont="1" applyFill="1" applyBorder="1" applyAlignment="1">
      <alignment horizontal="left" vertical="top" wrapText="1"/>
    </xf>
  </cellXfs>
  <cellStyles count="796">
    <cellStyle name="Comma" xfId="1" builtinId="3"/>
    <cellStyle name="Currency" xfId="2" builtinId="4"/>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Followed Hyperlink" xfId="571"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59" builtinId="9" hidden="1"/>
    <cellStyle name="Followed Hyperlink" xfId="661" builtinId="9" hidden="1"/>
    <cellStyle name="Followed Hyperlink" xfId="663" builtinId="9" hidden="1"/>
    <cellStyle name="Followed Hyperlink" xfId="665" builtinId="9" hidden="1"/>
    <cellStyle name="Followed Hyperlink" xfId="667" builtinId="9" hidden="1"/>
    <cellStyle name="Followed Hyperlink" xfId="669" builtinId="9" hidden="1"/>
    <cellStyle name="Followed Hyperlink" xfId="671" builtinId="9" hidden="1"/>
    <cellStyle name="Followed Hyperlink" xfId="673" builtinId="9" hidden="1"/>
    <cellStyle name="Followed Hyperlink" xfId="675" builtinId="9" hidden="1"/>
    <cellStyle name="Followed Hyperlink" xfId="677" builtinId="9" hidden="1"/>
    <cellStyle name="Followed Hyperlink" xfId="679" builtinId="9" hidden="1"/>
    <cellStyle name="Followed Hyperlink" xfId="681" builtinId="9" hidden="1"/>
    <cellStyle name="Followed Hyperlink" xfId="683" builtinId="9" hidden="1"/>
    <cellStyle name="Followed Hyperlink" xfId="685" builtinId="9" hidden="1"/>
    <cellStyle name="Followed Hyperlink" xfId="687" builtinId="9" hidden="1"/>
    <cellStyle name="Followed Hyperlink" xfId="689" builtinId="9" hidden="1"/>
    <cellStyle name="Followed Hyperlink" xfId="691" builtinId="9" hidden="1"/>
    <cellStyle name="Followed Hyperlink" xfId="693" builtinId="9" hidden="1"/>
    <cellStyle name="Followed Hyperlink" xfId="695" builtinId="9" hidden="1"/>
    <cellStyle name="Followed Hyperlink" xfId="697" builtinId="9" hidden="1"/>
    <cellStyle name="Followed Hyperlink" xfId="699" builtinId="9" hidden="1"/>
    <cellStyle name="Followed Hyperlink" xfId="701" builtinId="9" hidden="1"/>
    <cellStyle name="Followed Hyperlink" xfId="703" builtinId="9" hidden="1"/>
    <cellStyle name="Followed Hyperlink" xfId="705" builtinId="9" hidden="1"/>
    <cellStyle name="Followed Hyperlink" xfId="707" builtinId="9" hidden="1"/>
    <cellStyle name="Followed Hyperlink" xfId="709" builtinId="9" hidden="1"/>
    <cellStyle name="Followed Hyperlink" xfId="711" builtinId="9" hidden="1"/>
    <cellStyle name="Followed Hyperlink" xfId="713" builtinId="9" hidden="1"/>
    <cellStyle name="Followed Hyperlink" xfId="715" builtinId="9" hidden="1"/>
    <cellStyle name="Followed Hyperlink" xfId="717" builtinId="9" hidden="1"/>
    <cellStyle name="Followed Hyperlink" xfId="719" builtinId="9" hidden="1"/>
    <cellStyle name="Followed Hyperlink" xfId="721" builtinId="9" hidden="1"/>
    <cellStyle name="Followed Hyperlink" xfId="723" builtinId="9" hidden="1"/>
    <cellStyle name="Followed Hyperlink" xfId="725" builtinId="9" hidden="1"/>
    <cellStyle name="Followed Hyperlink" xfId="727" builtinId="9" hidden="1"/>
    <cellStyle name="Followed Hyperlink" xfId="729" builtinId="9" hidden="1"/>
    <cellStyle name="Followed Hyperlink" xfId="731" builtinId="9" hidden="1"/>
    <cellStyle name="Followed Hyperlink" xfId="733" builtinId="9" hidden="1"/>
    <cellStyle name="Followed Hyperlink" xfId="735" builtinId="9" hidden="1"/>
    <cellStyle name="Followed Hyperlink" xfId="737" builtinId="9" hidden="1"/>
    <cellStyle name="Followed Hyperlink" xfId="739" builtinId="9" hidden="1"/>
    <cellStyle name="Followed Hyperlink" xfId="741" builtinId="9" hidden="1"/>
    <cellStyle name="Followed Hyperlink" xfId="743" builtinId="9" hidden="1"/>
    <cellStyle name="Followed Hyperlink" xfId="745" builtinId="9" hidden="1"/>
    <cellStyle name="Followed Hyperlink" xfId="747" builtinId="9" hidden="1"/>
    <cellStyle name="Followed Hyperlink" xfId="749" builtinId="9" hidden="1"/>
    <cellStyle name="Followed Hyperlink" xfId="751" builtinId="9" hidden="1"/>
    <cellStyle name="Followed Hyperlink" xfId="753" builtinId="9" hidden="1"/>
    <cellStyle name="Followed Hyperlink" xfId="755" builtinId="9" hidden="1"/>
    <cellStyle name="Followed Hyperlink" xfId="757" builtinId="9" hidden="1"/>
    <cellStyle name="Followed Hyperlink" xfId="759" builtinId="9" hidden="1"/>
    <cellStyle name="Followed Hyperlink" xfId="761" builtinId="9" hidden="1"/>
    <cellStyle name="Followed Hyperlink" xfId="763" builtinId="9" hidden="1"/>
    <cellStyle name="Followed Hyperlink" xfId="765" builtinId="9" hidden="1"/>
    <cellStyle name="Followed Hyperlink" xfId="767" builtinId="9" hidden="1"/>
    <cellStyle name="Followed Hyperlink" xfId="769" builtinId="9" hidden="1"/>
    <cellStyle name="Followed Hyperlink" xfId="771" builtinId="9" hidden="1"/>
    <cellStyle name="Followed Hyperlink" xfId="773" builtinId="9" hidden="1"/>
    <cellStyle name="Followed Hyperlink" xfId="775" builtinId="9" hidden="1"/>
    <cellStyle name="Followed Hyperlink" xfId="777" builtinId="9" hidden="1"/>
    <cellStyle name="Followed Hyperlink" xfId="779" builtinId="9" hidden="1"/>
    <cellStyle name="Followed Hyperlink" xfId="781" builtinId="9" hidden="1"/>
    <cellStyle name="Followed Hyperlink" xfId="783" builtinId="9" hidden="1"/>
    <cellStyle name="Followed Hyperlink" xfId="785" builtinId="9" hidden="1"/>
    <cellStyle name="Followed Hyperlink" xfId="787" builtinId="9" hidden="1"/>
    <cellStyle name="Followed Hyperlink" xfId="789" builtinId="9" hidden="1"/>
    <cellStyle name="Followed Hyperlink" xfId="791" builtinId="9" hidden="1"/>
    <cellStyle name="Followed Hyperlink" xfId="793" builtinId="9" hidden="1"/>
    <cellStyle name="Followed Hyperlink" xfId="795"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Hyperlink" xfId="562" builtinId="8" hidden="1"/>
    <cellStyle name="Hyperlink" xfId="564" builtinId="8" hidden="1"/>
    <cellStyle name="Hyperlink" xfId="566" builtinId="8" hidden="1"/>
    <cellStyle name="Hyperlink" xfId="568" builtinId="8" hidden="1"/>
    <cellStyle name="Hyperlink" xfId="570" builtinId="8" hidden="1"/>
    <cellStyle name="Hyperlink" xfId="572"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Hyperlink" xfId="650" builtinId="8" hidden="1"/>
    <cellStyle name="Hyperlink" xfId="652" builtinId="8" hidden="1"/>
    <cellStyle name="Hyperlink" xfId="654" builtinId="8" hidden="1"/>
    <cellStyle name="Hyperlink" xfId="656" builtinId="8" hidden="1"/>
    <cellStyle name="Hyperlink" xfId="658" builtinId="8" hidden="1"/>
    <cellStyle name="Hyperlink" xfId="660" builtinId="8" hidden="1"/>
    <cellStyle name="Hyperlink" xfId="662" builtinId="8" hidden="1"/>
    <cellStyle name="Hyperlink" xfId="664" builtinId="8" hidden="1"/>
    <cellStyle name="Hyperlink" xfId="666" builtinId="8" hidden="1"/>
    <cellStyle name="Hyperlink" xfId="668" builtinId="8" hidden="1"/>
    <cellStyle name="Hyperlink" xfId="670" builtinId="8" hidden="1"/>
    <cellStyle name="Hyperlink" xfId="672" builtinId="8" hidden="1"/>
    <cellStyle name="Hyperlink" xfId="674" builtinId="8" hidden="1"/>
    <cellStyle name="Hyperlink" xfId="676" builtinId="8" hidden="1"/>
    <cellStyle name="Hyperlink" xfId="678" builtinId="8" hidden="1"/>
    <cellStyle name="Hyperlink" xfId="680" builtinId="8" hidden="1"/>
    <cellStyle name="Hyperlink" xfId="682" builtinId="8" hidden="1"/>
    <cellStyle name="Hyperlink" xfId="684" builtinId="8" hidden="1"/>
    <cellStyle name="Hyperlink" xfId="686" builtinId="8" hidden="1"/>
    <cellStyle name="Hyperlink" xfId="688" builtinId="8" hidden="1"/>
    <cellStyle name="Hyperlink" xfId="690" builtinId="8" hidden="1"/>
    <cellStyle name="Hyperlink" xfId="692" builtinId="8" hidden="1"/>
    <cellStyle name="Hyperlink" xfId="694" builtinId="8" hidden="1"/>
    <cellStyle name="Hyperlink" xfId="696" builtinId="8" hidden="1"/>
    <cellStyle name="Hyperlink" xfId="698" builtinId="8" hidden="1"/>
    <cellStyle name="Hyperlink" xfId="700" builtinId="8" hidden="1"/>
    <cellStyle name="Hyperlink" xfId="702" builtinId="8" hidden="1"/>
    <cellStyle name="Hyperlink" xfId="704" builtinId="8" hidden="1"/>
    <cellStyle name="Hyperlink" xfId="706" builtinId="8" hidden="1"/>
    <cellStyle name="Hyperlink" xfId="708" builtinId="8" hidden="1"/>
    <cellStyle name="Hyperlink" xfId="710" builtinId="8" hidden="1"/>
    <cellStyle name="Hyperlink" xfId="712" builtinId="8" hidden="1"/>
    <cellStyle name="Hyperlink" xfId="714" builtinId="8" hidden="1"/>
    <cellStyle name="Hyperlink" xfId="716" builtinId="8" hidden="1"/>
    <cellStyle name="Hyperlink" xfId="718" builtinId="8" hidden="1"/>
    <cellStyle name="Hyperlink" xfId="720" builtinId="8" hidden="1"/>
    <cellStyle name="Hyperlink" xfId="722" builtinId="8" hidden="1"/>
    <cellStyle name="Hyperlink" xfId="724" builtinId="8" hidden="1"/>
    <cellStyle name="Hyperlink" xfId="726" builtinId="8" hidden="1"/>
    <cellStyle name="Hyperlink" xfId="728" builtinId="8" hidden="1"/>
    <cellStyle name="Hyperlink" xfId="730" builtinId="8" hidden="1"/>
    <cellStyle name="Hyperlink" xfId="732" builtinId="8" hidden="1"/>
    <cellStyle name="Hyperlink" xfId="734" builtinId="8" hidden="1"/>
    <cellStyle name="Hyperlink" xfId="736" builtinId="8" hidden="1"/>
    <cellStyle name="Hyperlink" xfId="738" builtinId="8" hidden="1"/>
    <cellStyle name="Hyperlink" xfId="740" builtinId="8" hidden="1"/>
    <cellStyle name="Hyperlink" xfId="742" builtinId="8" hidden="1"/>
    <cellStyle name="Hyperlink" xfId="744" builtinId="8" hidden="1"/>
    <cellStyle name="Hyperlink" xfId="746" builtinId="8" hidden="1"/>
    <cellStyle name="Hyperlink" xfId="748" builtinId="8" hidden="1"/>
    <cellStyle name="Hyperlink" xfId="750" builtinId="8" hidden="1"/>
    <cellStyle name="Hyperlink" xfId="752" builtinId="8" hidden="1"/>
    <cellStyle name="Hyperlink" xfId="754" builtinId="8" hidden="1"/>
    <cellStyle name="Hyperlink" xfId="756" builtinId="8" hidden="1"/>
    <cellStyle name="Hyperlink" xfId="758" builtinId="8" hidden="1"/>
    <cellStyle name="Hyperlink" xfId="760" builtinId="8" hidden="1"/>
    <cellStyle name="Hyperlink" xfId="762" builtinId="8" hidden="1"/>
    <cellStyle name="Hyperlink" xfId="764" builtinId="8" hidden="1"/>
    <cellStyle name="Hyperlink" xfId="766" builtinId="8" hidden="1"/>
    <cellStyle name="Hyperlink" xfId="768" builtinId="8" hidden="1"/>
    <cellStyle name="Hyperlink" xfId="770" builtinId="8" hidden="1"/>
    <cellStyle name="Hyperlink" xfId="772" builtinId="8" hidden="1"/>
    <cellStyle name="Hyperlink" xfId="774" builtinId="8" hidden="1"/>
    <cellStyle name="Hyperlink" xfId="776" builtinId="8" hidden="1"/>
    <cellStyle name="Hyperlink" xfId="778" builtinId="8" hidden="1"/>
    <cellStyle name="Hyperlink" xfId="780" builtinId="8" hidden="1"/>
    <cellStyle name="Hyperlink" xfId="782" builtinId="8" hidden="1"/>
    <cellStyle name="Hyperlink" xfId="784" builtinId="8" hidden="1"/>
    <cellStyle name="Hyperlink" xfId="786" builtinId="8" hidden="1"/>
    <cellStyle name="Hyperlink" xfId="788" builtinId="8" hidden="1"/>
    <cellStyle name="Hyperlink" xfId="790" builtinId="8" hidden="1"/>
    <cellStyle name="Hyperlink" xfId="792" builtinId="8" hidden="1"/>
    <cellStyle name="Hyperlink" xfId="794" builtinId="8" hidden="1"/>
    <cellStyle name="Normal" xfId="0" builtinId="0"/>
    <cellStyle name="Percent" xfId="3" builtinId="5"/>
  </cellStyles>
  <dxfs count="22">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86"/>
  <sheetViews>
    <sheetView tabSelected="1" workbookViewId="0">
      <pane xSplit="5" ySplit="2" topLeftCell="F3" activePane="bottomRight" state="frozen"/>
      <selection pane="topRight" activeCell="B1" sqref="B1"/>
      <selection pane="bottomLeft" activeCell="A3" sqref="A3"/>
      <selection pane="bottomRight" activeCell="B23" sqref="B23"/>
    </sheetView>
  </sheetViews>
  <sheetFormatPr baseColWidth="10" defaultRowHeight="15" x14ac:dyDescent="0"/>
  <cols>
    <col min="1" max="1" width="37" customWidth="1"/>
    <col min="2" max="2" width="15.6640625" customWidth="1"/>
    <col min="3" max="3" width="5.83203125" customWidth="1"/>
    <col min="4" max="4" width="5.1640625" style="1" customWidth="1"/>
    <col min="5" max="5" width="23.6640625" bestFit="1" customWidth="1"/>
    <col min="6" max="6" width="15.33203125" bestFit="1" customWidth="1"/>
    <col min="7" max="10" width="14.1640625" bestFit="1" customWidth="1"/>
    <col min="11" max="12" width="12.5" bestFit="1" customWidth="1"/>
    <col min="13" max="27" width="14.1640625" bestFit="1" customWidth="1"/>
    <col min="28" max="28" width="11.5" bestFit="1" customWidth="1"/>
    <col min="29" max="29" width="10" bestFit="1" customWidth="1"/>
    <col min="30" max="30" width="11.5" bestFit="1" customWidth="1"/>
  </cols>
  <sheetData>
    <row r="1" spans="1:30" ht="20" customHeight="1" thickTop="1">
      <c r="A1" s="115" t="s">
        <v>72</v>
      </c>
      <c r="B1" s="116"/>
      <c r="D1" s="27"/>
      <c r="E1" s="27"/>
      <c r="F1" s="27"/>
      <c r="G1" s="85">
        <v>41640</v>
      </c>
      <c r="H1" s="85">
        <v>41671</v>
      </c>
      <c r="I1" s="85">
        <v>41699</v>
      </c>
      <c r="J1" s="85">
        <v>41730</v>
      </c>
      <c r="K1" s="85">
        <v>41760</v>
      </c>
      <c r="L1" s="85">
        <v>41791</v>
      </c>
      <c r="M1" s="85">
        <v>41821</v>
      </c>
      <c r="N1" s="85">
        <v>41852</v>
      </c>
      <c r="O1" s="85">
        <v>41883</v>
      </c>
      <c r="P1" s="85">
        <v>41913</v>
      </c>
      <c r="Q1" s="85">
        <v>41944</v>
      </c>
      <c r="R1" s="85">
        <v>41974</v>
      </c>
      <c r="S1" s="86">
        <v>42005</v>
      </c>
      <c r="T1" s="86">
        <v>42036</v>
      </c>
      <c r="U1" s="86">
        <v>42064</v>
      </c>
      <c r="V1" s="86">
        <v>42095</v>
      </c>
      <c r="W1" s="86">
        <v>42125</v>
      </c>
      <c r="X1" s="86">
        <v>42156</v>
      </c>
      <c r="Y1" s="86">
        <v>42186</v>
      </c>
      <c r="Z1" s="86">
        <v>42217</v>
      </c>
      <c r="AA1" s="86">
        <v>42248</v>
      </c>
      <c r="AB1" s="86">
        <v>42278</v>
      </c>
      <c r="AC1" s="86">
        <v>42309</v>
      </c>
      <c r="AD1" s="86">
        <v>42339</v>
      </c>
    </row>
    <row r="2" spans="1:30" ht="37" customHeight="1" thickBot="1">
      <c r="A2" s="121"/>
      <c r="B2" s="122"/>
      <c r="C2" s="19"/>
      <c r="D2" s="25"/>
      <c r="E2" s="25"/>
      <c r="F2" s="25" t="s">
        <v>21</v>
      </c>
      <c r="G2" s="26"/>
      <c r="H2" s="26"/>
      <c r="I2" s="26"/>
      <c r="J2" s="26"/>
      <c r="K2" s="26"/>
      <c r="L2" s="26"/>
      <c r="M2" s="26"/>
      <c r="N2" s="26"/>
      <c r="O2" s="26"/>
      <c r="P2" s="26"/>
      <c r="Q2" s="26"/>
      <c r="R2" s="67"/>
      <c r="S2" s="84" t="s">
        <v>62</v>
      </c>
      <c r="T2" s="20"/>
      <c r="U2" s="20"/>
      <c r="V2" s="20"/>
      <c r="W2" s="20"/>
      <c r="X2" s="20"/>
      <c r="Y2" s="20"/>
      <c r="Z2" s="20"/>
      <c r="AA2" s="20"/>
      <c r="AB2" s="20"/>
      <c r="AC2" s="20"/>
      <c r="AD2" s="20"/>
    </row>
    <row r="3" spans="1:30" ht="16" thickTop="1">
      <c r="A3" s="46" t="s">
        <v>13</v>
      </c>
      <c r="B3" s="56">
        <v>5000000</v>
      </c>
      <c r="C3" s="34"/>
      <c r="D3" s="25"/>
      <c r="E3" s="31" t="s">
        <v>30</v>
      </c>
      <c r="F3" s="2" t="s">
        <v>22</v>
      </c>
      <c r="G3" s="32">
        <f ca="1">ROUND(($B26*G7),$A$86)</f>
        <v>41000</v>
      </c>
      <c r="H3" s="32">
        <f ca="1">ROUND(($B26*H7),$A$86)</f>
        <v>32000</v>
      </c>
      <c r="I3" s="32">
        <f ca="1">ROUND(($B26*I7),$A$86)</f>
        <v>18000</v>
      </c>
      <c r="J3" s="32">
        <f ca="1">ROUND(($B26*J7),$A$86)</f>
        <v>16000</v>
      </c>
      <c r="K3" s="32">
        <f ca="1">ROUND(($B26*K7),$A$86)</f>
        <v>27000</v>
      </c>
      <c r="L3" s="32">
        <f ca="1">ROUND(($B26*L7),$A$86)</f>
        <v>49000</v>
      </c>
      <c r="M3" s="32">
        <f ca="1">ROUND(($B26*M7),$A$86)</f>
        <v>32000</v>
      </c>
      <c r="N3" s="32">
        <f ca="1">ROUND(($B26*N7),$A$86)</f>
        <v>103000</v>
      </c>
      <c r="O3" s="32">
        <f ca="1">ROUND(($B26*O7),$A$86)</f>
        <v>32000</v>
      </c>
      <c r="P3" s="32">
        <f ca="1">ROUND(($B26*P7),$A$86)</f>
        <v>32000</v>
      </c>
      <c r="Q3" s="32">
        <f ca="1">ROUND(($B26*Q7),$A$86)</f>
        <v>58000</v>
      </c>
      <c r="R3" s="32">
        <f ca="1">ROUND(($B26*R7),$A$86)</f>
        <v>58000</v>
      </c>
      <c r="S3" s="20"/>
      <c r="T3" s="20"/>
      <c r="U3" s="20"/>
      <c r="V3" s="20"/>
      <c r="W3" s="20"/>
      <c r="X3" s="20"/>
      <c r="Y3" s="20"/>
      <c r="Z3" s="20"/>
      <c r="AA3" s="20"/>
      <c r="AB3" s="20"/>
      <c r="AC3" s="20"/>
      <c r="AD3" s="20"/>
    </row>
    <row r="4" spans="1:30">
      <c r="A4" s="47" t="s">
        <v>29</v>
      </c>
      <c r="B4" s="57">
        <v>0.8</v>
      </c>
      <c r="C4" s="35"/>
      <c r="D4" s="25"/>
      <c r="E4" s="31" t="s">
        <v>58</v>
      </c>
      <c r="F4" s="2" t="s">
        <v>22</v>
      </c>
      <c r="G4" s="87">
        <f>ROUND($B$21/12,$A$86)</f>
        <v>42000</v>
      </c>
      <c r="H4" s="87">
        <f>ROUND($B$21/12,$A$86)</f>
        <v>42000</v>
      </c>
      <c r="I4" s="87">
        <f>ROUND($B$21/12,$A$86)</f>
        <v>42000</v>
      </c>
      <c r="J4" s="87">
        <f>ROUND($B$21/12,$A$86)</f>
        <v>42000</v>
      </c>
      <c r="K4" s="87">
        <f>ROUND($B$21/12,$A$86)</f>
        <v>42000</v>
      </c>
      <c r="L4" s="87">
        <f>ROUND($B$21/12,$A$86)</f>
        <v>42000</v>
      </c>
      <c r="M4" s="87">
        <f>ROUND($B$21/12,$A$86)</f>
        <v>42000</v>
      </c>
      <c r="N4" s="87">
        <f>ROUND($B$21/12,$A$86)</f>
        <v>42000</v>
      </c>
      <c r="O4" s="87">
        <f>ROUND($B$21/12,$A$86)</f>
        <v>42000</v>
      </c>
      <c r="P4" s="87">
        <f>ROUND($B$21/12,$A$86)</f>
        <v>42000</v>
      </c>
      <c r="Q4" s="87">
        <f>ROUND($B$21/12,$A$86)</f>
        <v>42000</v>
      </c>
      <c r="R4" s="87">
        <f>ROUND($B$21/12,$A$86)</f>
        <v>42000</v>
      </c>
      <c r="S4" s="20"/>
      <c r="T4" s="20"/>
      <c r="U4" s="20"/>
      <c r="V4" s="20"/>
      <c r="W4" s="20"/>
      <c r="X4" s="20"/>
      <c r="Y4" s="20"/>
      <c r="Z4" s="20"/>
      <c r="AA4" s="20"/>
      <c r="AB4" s="20"/>
      <c r="AC4" s="20"/>
      <c r="AD4" s="20"/>
    </row>
    <row r="5" spans="1:30">
      <c r="A5" s="47" t="s">
        <v>14</v>
      </c>
      <c r="B5" s="58">
        <f>B3*B4</f>
        <v>4000000</v>
      </c>
      <c r="C5" s="35"/>
      <c r="D5" s="25"/>
      <c r="E5" s="31" t="s">
        <v>59</v>
      </c>
      <c r="F5" s="2" t="s">
        <v>22</v>
      </c>
      <c r="G5" s="32">
        <f ca="1">G4/G7</f>
        <v>8.1823495032144944</v>
      </c>
      <c r="H5" s="32">
        <f t="shared" ref="H5:R5" ca="1" si="0">H4/H7</f>
        <v>10.223953261927946</v>
      </c>
      <c r="I5" s="32">
        <f t="shared" ca="1" si="0"/>
        <v>18.592297476759629</v>
      </c>
      <c r="J5" s="32">
        <f t="shared" ca="1" si="0"/>
        <v>20.398251578436135</v>
      </c>
      <c r="K5" s="32">
        <f t="shared" ca="1" si="0"/>
        <v>12.305889246996777</v>
      </c>
      <c r="L5" s="32">
        <f t="shared" ca="1" si="0"/>
        <v>6.8104426787741206</v>
      </c>
      <c r="M5" s="32">
        <f t="shared" ca="1" si="0"/>
        <v>10.223953261927946</v>
      </c>
      <c r="N5" s="32">
        <f t="shared" ca="1" si="0"/>
        <v>3.2169117647058822</v>
      </c>
      <c r="O5" s="32">
        <f t="shared" ca="1" si="0"/>
        <v>10.223953261927946</v>
      </c>
      <c r="P5" s="32">
        <f t="shared" ca="1" si="0"/>
        <v>10.223953261927946</v>
      </c>
      <c r="Q5" s="32">
        <f t="shared" ca="1" si="0"/>
        <v>5.6818181818181817</v>
      </c>
      <c r="R5" s="32">
        <f t="shared" ca="1" si="0"/>
        <v>5.6818181818181817</v>
      </c>
      <c r="S5" s="20"/>
      <c r="T5" s="20"/>
      <c r="U5" s="20"/>
      <c r="V5" s="20"/>
      <c r="W5" s="20"/>
      <c r="X5" s="20"/>
      <c r="Y5" s="20"/>
      <c r="Z5" s="20"/>
      <c r="AA5" s="20"/>
      <c r="AB5" s="20"/>
      <c r="AC5" s="20"/>
      <c r="AD5" s="20"/>
    </row>
    <row r="6" spans="1:30">
      <c r="A6" s="44"/>
      <c r="B6" s="59"/>
      <c r="C6" s="35"/>
      <c r="D6" s="27"/>
      <c r="E6" s="117" t="s">
        <v>65</v>
      </c>
      <c r="F6" s="117"/>
      <c r="G6" s="117"/>
      <c r="H6" s="28"/>
      <c r="I6" s="28"/>
      <c r="J6" s="28"/>
      <c r="K6" s="28"/>
      <c r="L6" s="28"/>
      <c r="M6" s="28"/>
      <c r="N6" s="28"/>
      <c r="O6" s="28"/>
      <c r="P6" s="28"/>
      <c r="Q6" s="28"/>
      <c r="R6" s="45"/>
      <c r="S6" s="20"/>
      <c r="T6" s="20"/>
      <c r="U6" s="20"/>
      <c r="V6" s="20"/>
      <c r="W6" s="20"/>
      <c r="X6" s="20"/>
      <c r="Y6" s="20"/>
      <c r="Z6" s="20"/>
      <c r="AA6" s="20"/>
      <c r="AB6" s="20"/>
      <c r="AC6" s="20"/>
      <c r="AD6" s="20"/>
    </row>
    <row r="7" spans="1:30">
      <c r="A7" s="47" t="s">
        <v>15</v>
      </c>
      <c r="B7" s="55">
        <v>0.05</v>
      </c>
      <c r="C7" s="36"/>
      <c r="D7" s="24"/>
      <c r="E7" s="11" t="s">
        <v>7</v>
      </c>
      <c r="F7" s="12"/>
      <c r="G7" s="15">
        <f t="shared" ref="G7:R7" ca="1" si="1">SUM(G8:G11)</f>
        <v>5133</v>
      </c>
      <c r="H7" s="15">
        <f t="shared" ca="1" si="1"/>
        <v>4108</v>
      </c>
      <c r="I7" s="15">
        <f t="shared" ca="1" si="1"/>
        <v>2259</v>
      </c>
      <c r="J7" s="15">
        <f t="shared" ca="1" si="1"/>
        <v>2059</v>
      </c>
      <c r="K7" s="15">
        <f t="shared" ca="1" si="1"/>
        <v>3413</v>
      </c>
      <c r="L7" s="15">
        <f t="shared" ca="1" si="1"/>
        <v>6167</v>
      </c>
      <c r="M7" s="15">
        <f t="shared" ca="1" si="1"/>
        <v>4108</v>
      </c>
      <c r="N7" s="15">
        <f t="shared" ca="1" si="1"/>
        <v>13056</v>
      </c>
      <c r="O7" s="15">
        <f t="shared" ca="1" si="1"/>
        <v>4108</v>
      </c>
      <c r="P7" s="15">
        <f t="shared" ca="1" si="1"/>
        <v>4108</v>
      </c>
      <c r="Q7" s="15">
        <f t="shared" ca="1" si="1"/>
        <v>7392</v>
      </c>
      <c r="R7" s="68">
        <f t="shared" ca="1" si="1"/>
        <v>7392</v>
      </c>
      <c r="S7" s="21">
        <f t="shared" ref="S7:AD7" ca="1" si="2">SUM(S8:S11)</f>
        <v>9448</v>
      </c>
      <c r="T7" s="21">
        <f t="shared" ca="1" si="2"/>
        <v>8093</v>
      </c>
      <c r="U7" s="21">
        <f t="shared" ca="1" si="2"/>
        <v>3820</v>
      </c>
      <c r="V7" s="21">
        <f t="shared" ca="1" si="2"/>
        <v>2958</v>
      </c>
      <c r="W7" s="21">
        <f t="shared" ca="1" si="2"/>
        <v>6285</v>
      </c>
      <c r="X7" s="21">
        <f t="shared" ca="1" si="2"/>
        <v>10884</v>
      </c>
      <c r="Y7" s="21">
        <f t="shared" ca="1" si="2"/>
        <v>8093</v>
      </c>
      <c r="Z7" s="21">
        <f t="shared" ca="1" si="2"/>
        <v>24151</v>
      </c>
      <c r="AA7" s="21">
        <f t="shared" ca="1" si="2"/>
        <v>0</v>
      </c>
      <c r="AB7" s="21">
        <f t="shared" ca="1" si="2"/>
        <v>0</v>
      </c>
      <c r="AC7" s="21">
        <f t="shared" ca="1" si="2"/>
        <v>0</v>
      </c>
      <c r="AD7" s="21">
        <f t="shared" ca="1" si="2"/>
        <v>0</v>
      </c>
    </row>
    <row r="8" spans="1:30">
      <c r="A8" s="44"/>
      <c r="B8" s="59"/>
      <c r="C8" s="19"/>
      <c r="D8" s="24"/>
      <c r="E8" s="17" t="s">
        <v>1</v>
      </c>
      <c r="F8" s="2" t="s">
        <v>22</v>
      </c>
      <c r="G8" s="108">
        <f t="shared" ref="G8:R8" ca="1" si="3">ROUND(G14/$F14,0)</f>
        <v>920</v>
      </c>
      <c r="H8" s="97">
        <f t="shared" ca="1" si="3"/>
        <v>720</v>
      </c>
      <c r="I8" s="97">
        <f t="shared" ca="1" si="3"/>
        <v>400</v>
      </c>
      <c r="J8" s="97">
        <f t="shared" ca="1" si="3"/>
        <v>400</v>
      </c>
      <c r="K8" s="97">
        <f t="shared" ca="1" si="3"/>
        <v>600</v>
      </c>
      <c r="L8" s="97">
        <f t="shared" ca="1" si="3"/>
        <v>1120</v>
      </c>
      <c r="M8" s="97">
        <f t="shared" ca="1" si="3"/>
        <v>720</v>
      </c>
      <c r="N8" s="97">
        <f t="shared" ca="1" si="3"/>
        <v>2280</v>
      </c>
      <c r="O8" s="97">
        <f t="shared" ca="1" si="3"/>
        <v>720</v>
      </c>
      <c r="P8" s="97">
        <f t="shared" ca="1" si="3"/>
        <v>720</v>
      </c>
      <c r="Q8" s="97">
        <f t="shared" ca="1" si="3"/>
        <v>1320</v>
      </c>
      <c r="R8" s="98">
        <f t="shared" ca="1" si="3"/>
        <v>1320</v>
      </c>
      <c r="S8" s="21">
        <f t="shared" ref="S8:AD8" ca="1" si="4">ROUND(S14/$F14,0)</f>
        <v>1680</v>
      </c>
      <c r="T8" s="21">
        <f t="shared" ca="1" si="4"/>
        <v>1440</v>
      </c>
      <c r="U8" s="21">
        <f t="shared" ca="1" si="4"/>
        <v>680</v>
      </c>
      <c r="V8" s="21">
        <f t="shared" ca="1" si="4"/>
        <v>520</v>
      </c>
      <c r="W8" s="21">
        <f t="shared" ca="1" si="4"/>
        <v>1120</v>
      </c>
      <c r="X8" s="21">
        <f t="shared" ca="1" si="4"/>
        <v>1920</v>
      </c>
      <c r="Y8" s="21">
        <f t="shared" ca="1" si="4"/>
        <v>1440</v>
      </c>
      <c r="Z8" s="21">
        <f t="shared" ca="1" si="4"/>
        <v>4280</v>
      </c>
      <c r="AA8" s="21">
        <f t="shared" ca="1" si="4"/>
        <v>0</v>
      </c>
      <c r="AB8" s="21">
        <f t="shared" ca="1" si="4"/>
        <v>0</v>
      </c>
      <c r="AC8" s="21">
        <f t="shared" ca="1" si="4"/>
        <v>0</v>
      </c>
      <c r="AD8" s="21">
        <f t="shared" ca="1" si="4"/>
        <v>0</v>
      </c>
    </row>
    <row r="9" spans="1:30">
      <c r="A9" s="47" t="s">
        <v>8</v>
      </c>
      <c r="B9" s="60" t="s">
        <v>10</v>
      </c>
      <c r="C9" s="35"/>
      <c r="D9" s="24"/>
      <c r="E9" s="17" t="s">
        <v>2</v>
      </c>
      <c r="F9" s="2" t="s">
        <v>22</v>
      </c>
      <c r="G9" s="108">
        <f t="shared" ref="G9:R9" ca="1" si="5">ROUND(G15/$F15,0)</f>
        <v>1320</v>
      </c>
      <c r="H9" s="97">
        <f t="shared" ca="1" si="5"/>
        <v>1120</v>
      </c>
      <c r="I9" s="97">
        <f t="shared" ca="1" si="5"/>
        <v>600</v>
      </c>
      <c r="J9" s="97">
        <f t="shared" ca="1" si="5"/>
        <v>400</v>
      </c>
      <c r="K9" s="97">
        <f t="shared" ca="1" si="5"/>
        <v>920</v>
      </c>
      <c r="L9" s="97">
        <f t="shared" ca="1" si="5"/>
        <v>1520</v>
      </c>
      <c r="M9" s="97">
        <f t="shared" ca="1" si="5"/>
        <v>1120</v>
      </c>
      <c r="N9" s="97">
        <f t="shared" ca="1" si="5"/>
        <v>3600</v>
      </c>
      <c r="O9" s="97">
        <f t="shared" ca="1" si="5"/>
        <v>1120</v>
      </c>
      <c r="P9" s="97">
        <f t="shared" ca="1" si="5"/>
        <v>1120</v>
      </c>
      <c r="Q9" s="97">
        <f t="shared" ca="1" si="5"/>
        <v>1920</v>
      </c>
      <c r="R9" s="98">
        <f t="shared" ca="1" si="5"/>
        <v>1920</v>
      </c>
      <c r="S9" s="21">
        <f t="shared" ref="S9:AD9" ca="1" si="6">ROUND(S15/$F15,0)</f>
        <v>2480</v>
      </c>
      <c r="T9" s="21">
        <f t="shared" ca="1" si="6"/>
        <v>2120</v>
      </c>
      <c r="U9" s="21">
        <f t="shared" ca="1" si="6"/>
        <v>1000</v>
      </c>
      <c r="V9" s="21">
        <f t="shared" ca="1" si="6"/>
        <v>800</v>
      </c>
      <c r="W9" s="21">
        <f t="shared" ca="1" si="6"/>
        <v>1640</v>
      </c>
      <c r="X9" s="21">
        <f t="shared" ca="1" si="6"/>
        <v>2920</v>
      </c>
      <c r="Y9" s="21">
        <f t="shared" ca="1" si="6"/>
        <v>2120</v>
      </c>
      <c r="Z9" s="21">
        <f t="shared" ca="1" si="6"/>
        <v>6400</v>
      </c>
      <c r="AA9" s="21">
        <f t="shared" ca="1" si="6"/>
        <v>0</v>
      </c>
      <c r="AB9" s="21">
        <f t="shared" ca="1" si="6"/>
        <v>0</v>
      </c>
      <c r="AC9" s="21">
        <f t="shared" ca="1" si="6"/>
        <v>0</v>
      </c>
      <c r="AD9" s="21">
        <f t="shared" ca="1" si="6"/>
        <v>0</v>
      </c>
    </row>
    <row r="10" spans="1:30">
      <c r="A10" s="48" t="s">
        <v>1</v>
      </c>
      <c r="B10" s="61">
        <v>0.2</v>
      </c>
      <c r="C10" s="19"/>
      <c r="D10" s="24"/>
      <c r="E10" s="17" t="s">
        <v>3</v>
      </c>
      <c r="F10" s="2" t="s">
        <v>22</v>
      </c>
      <c r="G10" s="108">
        <f t="shared" ref="G10:R10" ca="1" si="7">ROUND(G16/$F16,0)</f>
        <v>2875</v>
      </c>
      <c r="H10" s="97">
        <f t="shared" ca="1" si="7"/>
        <v>2250</v>
      </c>
      <c r="I10" s="97">
        <f t="shared" ca="1" si="7"/>
        <v>1250</v>
      </c>
      <c r="J10" s="97">
        <f t="shared" ca="1" si="7"/>
        <v>1250</v>
      </c>
      <c r="K10" s="97">
        <f t="shared" ca="1" si="7"/>
        <v>1875</v>
      </c>
      <c r="L10" s="97">
        <f t="shared" ca="1" si="7"/>
        <v>3500</v>
      </c>
      <c r="M10" s="97">
        <f t="shared" ca="1" si="7"/>
        <v>2250</v>
      </c>
      <c r="N10" s="97">
        <f t="shared" ca="1" si="7"/>
        <v>7125</v>
      </c>
      <c r="O10" s="97">
        <f t="shared" ca="1" si="7"/>
        <v>2250</v>
      </c>
      <c r="P10" s="97">
        <f t="shared" ca="1" si="7"/>
        <v>2250</v>
      </c>
      <c r="Q10" s="97">
        <f t="shared" ca="1" si="7"/>
        <v>4125</v>
      </c>
      <c r="R10" s="98">
        <f t="shared" ca="1" si="7"/>
        <v>4125</v>
      </c>
      <c r="S10" s="21">
        <f t="shared" ref="S10:AD10" ca="1" si="8">ROUND(S16/$F16,0)</f>
        <v>5250</v>
      </c>
      <c r="T10" s="21">
        <f t="shared" ca="1" si="8"/>
        <v>4500</v>
      </c>
      <c r="U10" s="21">
        <f t="shared" ca="1" si="8"/>
        <v>2125</v>
      </c>
      <c r="V10" s="21">
        <f t="shared" ca="1" si="8"/>
        <v>1625</v>
      </c>
      <c r="W10" s="21">
        <f t="shared" ca="1" si="8"/>
        <v>3500</v>
      </c>
      <c r="X10" s="21">
        <f t="shared" ca="1" si="8"/>
        <v>6000</v>
      </c>
      <c r="Y10" s="21">
        <f t="shared" ca="1" si="8"/>
        <v>4500</v>
      </c>
      <c r="Z10" s="21">
        <f t="shared" ca="1" si="8"/>
        <v>13375</v>
      </c>
      <c r="AA10" s="21">
        <f t="shared" ca="1" si="8"/>
        <v>0</v>
      </c>
      <c r="AB10" s="21">
        <f t="shared" ca="1" si="8"/>
        <v>0</v>
      </c>
      <c r="AC10" s="21">
        <f t="shared" ca="1" si="8"/>
        <v>0</v>
      </c>
      <c r="AD10" s="21">
        <f t="shared" ca="1" si="8"/>
        <v>0</v>
      </c>
    </row>
    <row r="11" spans="1:30">
      <c r="A11" s="48" t="s">
        <v>2</v>
      </c>
      <c r="B11" s="61">
        <v>0.3</v>
      </c>
      <c r="C11" s="37"/>
      <c r="D11" s="24"/>
      <c r="E11" s="17" t="s">
        <v>4</v>
      </c>
      <c r="F11" s="2" t="s">
        <v>22</v>
      </c>
      <c r="G11" s="108">
        <f t="shared" ref="G11:R11" ca="1" si="9">ROUND(G17/$F17,0)</f>
        <v>18</v>
      </c>
      <c r="H11" s="97">
        <f t="shared" ca="1" si="9"/>
        <v>18</v>
      </c>
      <c r="I11" s="97">
        <f t="shared" ca="1" si="9"/>
        <v>9</v>
      </c>
      <c r="J11" s="97">
        <f t="shared" ca="1" si="9"/>
        <v>9</v>
      </c>
      <c r="K11" s="97">
        <f t="shared" ca="1" si="9"/>
        <v>18</v>
      </c>
      <c r="L11" s="97">
        <f t="shared" ca="1" si="9"/>
        <v>27</v>
      </c>
      <c r="M11" s="97">
        <f t="shared" ca="1" si="9"/>
        <v>18</v>
      </c>
      <c r="N11" s="97">
        <f t="shared" ca="1" si="9"/>
        <v>51</v>
      </c>
      <c r="O11" s="97">
        <f t="shared" ca="1" si="9"/>
        <v>18</v>
      </c>
      <c r="P11" s="97">
        <f t="shared" ca="1" si="9"/>
        <v>18</v>
      </c>
      <c r="Q11" s="97">
        <f t="shared" ca="1" si="9"/>
        <v>27</v>
      </c>
      <c r="R11" s="98">
        <f t="shared" ca="1" si="9"/>
        <v>27</v>
      </c>
      <c r="S11" s="21">
        <f t="shared" ref="S11:AD11" ca="1" si="10">ROUND(S17/$F17,0)</f>
        <v>38</v>
      </c>
      <c r="T11" s="21">
        <f t="shared" ca="1" si="10"/>
        <v>33</v>
      </c>
      <c r="U11" s="21">
        <f t="shared" ca="1" si="10"/>
        <v>15</v>
      </c>
      <c r="V11" s="21">
        <f t="shared" ca="1" si="10"/>
        <v>13</v>
      </c>
      <c r="W11" s="21">
        <f t="shared" ca="1" si="10"/>
        <v>25</v>
      </c>
      <c r="X11" s="21">
        <f t="shared" ca="1" si="10"/>
        <v>44</v>
      </c>
      <c r="Y11" s="21">
        <f t="shared" ca="1" si="10"/>
        <v>33</v>
      </c>
      <c r="Z11" s="21">
        <f t="shared" ca="1" si="10"/>
        <v>96</v>
      </c>
      <c r="AA11" s="21">
        <f t="shared" ca="1" si="10"/>
        <v>0</v>
      </c>
      <c r="AB11" s="21">
        <f t="shared" ca="1" si="10"/>
        <v>0</v>
      </c>
      <c r="AC11" s="21">
        <f t="shared" ca="1" si="10"/>
        <v>0</v>
      </c>
      <c r="AD11" s="21">
        <f t="shared" ca="1" si="10"/>
        <v>0</v>
      </c>
    </row>
    <row r="12" spans="1:30">
      <c r="A12" s="48" t="s">
        <v>3</v>
      </c>
      <c r="B12" s="61">
        <v>0.2</v>
      </c>
      <c r="C12" s="38"/>
      <c r="D12" s="27"/>
      <c r="E12" s="29"/>
      <c r="F12" s="28"/>
      <c r="G12" s="28"/>
      <c r="H12" s="28"/>
      <c r="I12" s="28"/>
      <c r="J12" s="28"/>
      <c r="K12" s="28"/>
      <c r="L12" s="28"/>
      <c r="M12" s="28"/>
      <c r="N12" s="28"/>
      <c r="O12" s="28"/>
      <c r="P12" s="28"/>
      <c r="Q12" s="28"/>
      <c r="R12" s="45"/>
      <c r="S12" s="20"/>
      <c r="T12" s="20"/>
      <c r="U12" s="20"/>
      <c r="V12" s="20"/>
      <c r="W12" s="20"/>
      <c r="X12" s="20"/>
      <c r="Y12" s="20"/>
      <c r="Z12" s="20"/>
      <c r="AA12" s="20"/>
      <c r="AB12" s="20"/>
      <c r="AC12" s="20"/>
      <c r="AD12" s="20"/>
    </row>
    <row r="13" spans="1:30">
      <c r="A13" s="48" t="s">
        <v>4</v>
      </c>
      <c r="B13" s="61">
        <v>0.1</v>
      </c>
      <c r="C13" s="38"/>
      <c r="D13" s="24"/>
      <c r="E13" s="11" t="s">
        <v>0</v>
      </c>
      <c r="F13" s="14">
        <f ca="1">G13/G7</f>
        <v>0.33372296902396259</v>
      </c>
      <c r="G13" s="15">
        <f t="shared" ref="G13:R13" ca="1" si="11">SUM(G14:G17)</f>
        <v>1713</v>
      </c>
      <c r="H13" s="15">
        <f t="shared" ca="1" si="11"/>
        <v>1388</v>
      </c>
      <c r="I13" s="15">
        <f t="shared" ca="1" si="11"/>
        <v>759</v>
      </c>
      <c r="J13" s="15">
        <f t="shared" ca="1" si="11"/>
        <v>659</v>
      </c>
      <c r="K13" s="15">
        <f t="shared" ca="1" si="11"/>
        <v>1153</v>
      </c>
      <c r="L13" s="15">
        <f t="shared" ca="1" si="11"/>
        <v>2047</v>
      </c>
      <c r="M13" s="15">
        <f t="shared" ca="1" si="11"/>
        <v>1388</v>
      </c>
      <c r="N13" s="15">
        <f t="shared" ca="1" si="11"/>
        <v>4416</v>
      </c>
      <c r="O13" s="15">
        <f t="shared" ca="1" si="11"/>
        <v>1388</v>
      </c>
      <c r="P13" s="15">
        <f t="shared" ca="1" si="11"/>
        <v>1388</v>
      </c>
      <c r="Q13" s="15">
        <f t="shared" ca="1" si="11"/>
        <v>2472</v>
      </c>
      <c r="R13" s="68">
        <f t="shared" ca="1" si="11"/>
        <v>2472</v>
      </c>
      <c r="S13" s="21">
        <f t="shared" ref="S13:AD13" ca="1" si="12">SUM(S14:S17)</f>
        <v>3168</v>
      </c>
      <c r="T13" s="21">
        <f t="shared" ca="1" si="12"/>
        <v>2713</v>
      </c>
      <c r="U13" s="21">
        <f t="shared" ca="1" si="12"/>
        <v>1280</v>
      </c>
      <c r="V13" s="21">
        <f t="shared" ca="1" si="12"/>
        <v>998</v>
      </c>
      <c r="W13" s="21">
        <f t="shared" ca="1" si="12"/>
        <v>2105</v>
      </c>
      <c r="X13" s="21">
        <f t="shared" ca="1" si="12"/>
        <v>3664</v>
      </c>
      <c r="Y13" s="21">
        <f t="shared" ca="1" si="12"/>
        <v>2713</v>
      </c>
      <c r="Z13" s="21">
        <f t="shared" ca="1" si="12"/>
        <v>8111</v>
      </c>
      <c r="AA13" s="21">
        <f t="shared" ca="1" si="12"/>
        <v>0</v>
      </c>
      <c r="AB13" s="21">
        <f t="shared" ca="1" si="12"/>
        <v>0</v>
      </c>
      <c r="AC13" s="21">
        <f t="shared" ca="1" si="12"/>
        <v>0</v>
      </c>
      <c r="AD13" s="21">
        <f t="shared" ca="1" si="12"/>
        <v>0</v>
      </c>
    </row>
    <row r="14" spans="1:30">
      <c r="A14" s="48" t="s">
        <v>5</v>
      </c>
      <c r="B14" s="62">
        <f>1-B4</f>
        <v>0.19999999999999996</v>
      </c>
      <c r="C14" s="38"/>
      <c r="D14" s="24"/>
      <c r="E14" s="17" t="s">
        <v>1</v>
      </c>
      <c r="F14" s="65">
        <v>0.5</v>
      </c>
      <c r="G14" s="108">
        <f t="shared" ref="G14:R14" ca="1" si="13">ROUND(G20/$F20,0)</f>
        <v>460</v>
      </c>
      <c r="H14" s="97">
        <f t="shared" ca="1" si="13"/>
        <v>360</v>
      </c>
      <c r="I14" s="97">
        <f t="shared" ca="1" si="13"/>
        <v>200</v>
      </c>
      <c r="J14" s="97">
        <f t="shared" ca="1" si="13"/>
        <v>200</v>
      </c>
      <c r="K14" s="97">
        <f t="shared" ca="1" si="13"/>
        <v>300</v>
      </c>
      <c r="L14" s="97">
        <f t="shared" ca="1" si="13"/>
        <v>560</v>
      </c>
      <c r="M14" s="97">
        <f t="shared" ca="1" si="13"/>
        <v>360</v>
      </c>
      <c r="N14" s="97">
        <f t="shared" ca="1" si="13"/>
        <v>1140</v>
      </c>
      <c r="O14" s="97">
        <f t="shared" ca="1" si="13"/>
        <v>360</v>
      </c>
      <c r="P14" s="97">
        <f t="shared" ca="1" si="13"/>
        <v>360</v>
      </c>
      <c r="Q14" s="97">
        <f t="shared" ca="1" si="13"/>
        <v>660</v>
      </c>
      <c r="R14" s="98">
        <f t="shared" ca="1" si="13"/>
        <v>660</v>
      </c>
      <c r="S14" s="21">
        <f t="shared" ref="S14:AD14" ca="1" si="14">ROUND(S20/$F20,0)</f>
        <v>840</v>
      </c>
      <c r="T14" s="21">
        <f t="shared" ca="1" si="14"/>
        <v>720</v>
      </c>
      <c r="U14" s="21">
        <f t="shared" ca="1" si="14"/>
        <v>340</v>
      </c>
      <c r="V14" s="21">
        <f t="shared" ca="1" si="14"/>
        <v>260</v>
      </c>
      <c r="W14" s="21">
        <f t="shared" ca="1" si="14"/>
        <v>560</v>
      </c>
      <c r="X14" s="21">
        <f t="shared" ca="1" si="14"/>
        <v>960</v>
      </c>
      <c r="Y14" s="21">
        <f t="shared" ca="1" si="14"/>
        <v>720</v>
      </c>
      <c r="Z14" s="21">
        <f t="shared" ca="1" si="14"/>
        <v>2140</v>
      </c>
      <c r="AA14" s="21">
        <f t="shared" ca="1" si="14"/>
        <v>0</v>
      </c>
      <c r="AB14" s="21">
        <f t="shared" ca="1" si="14"/>
        <v>0</v>
      </c>
      <c r="AC14" s="21">
        <f t="shared" ca="1" si="14"/>
        <v>0</v>
      </c>
      <c r="AD14" s="21">
        <f t="shared" ca="1" si="14"/>
        <v>0</v>
      </c>
    </row>
    <row r="15" spans="1:30">
      <c r="A15" s="47" t="s">
        <v>9</v>
      </c>
      <c r="B15" s="62">
        <f>SUM(B10:B14)</f>
        <v>0.99999999999999989</v>
      </c>
      <c r="C15" s="38"/>
      <c r="D15" s="24"/>
      <c r="E15" s="17" t="s">
        <v>2</v>
      </c>
      <c r="F15" s="65">
        <v>0.5</v>
      </c>
      <c r="G15" s="108">
        <f t="shared" ref="G15:R15" ca="1" si="15">ROUND(G21/$F21,0)</f>
        <v>660</v>
      </c>
      <c r="H15" s="97">
        <f t="shared" ca="1" si="15"/>
        <v>560</v>
      </c>
      <c r="I15" s="97">
        <f t="shared" ca="1" si="15"/>
        <v>300</v>
      </c>
      <c r="J15" s="97">
        <f t="shared" ca="1" si="15"/>
        <v>200</v>
      </c>
      <c r="K15" s="97">
        <f t="shared" ca="1" si="15"/>
        <v>460</v>
      </c>
      <c r="L15" s="97">
        <f t="shared" ca="1" si="15"/>
        <v>760</v>
      </c>
      <c r="M15" s="97">
        <f t="shared" ca="1" si="15"/>
        <v>560</v>
      </c>
      <c r="N15" s="97">
        <f t="shared" ca="1" si="15"/>
        <v>1800</v>
      </c>
      <c r="O15" s="97">
        <f t="shared" ca="1" si="15"/>
        <v>560</v>
      </c>
      <c r="P15" s="97">
        <f t="shared" ca="1" si="15"/>
        <v>560</v>
      </c>
      <c r="Q15" s="97">
        <f t="shared" ca="1" si="15"/>
        <v>960</v>
      </c>
      <c r="R15" s="98">
        <f t="shared" ca="1" si="15"/>
        <v>960</v>
      </c>
      <c r="S15" s="21">
        <f t="shared" ref="S15:AD15" ca="1" si="16">ROUND(S21/$F21,0)</f>
        <v>1240</v>
      </c>
      <c r="T15" s="21">
        <f t="shared" ca="1" si="16"/>
        <v>1060</v>
      </c>
      <c r="U15" s="21">
        <f t="shared" ca="1" si="16"/>
        <v>500</v>
      </c>
      <c r="V15" s="21">
        <f t="shared" ca="1" si="16"/>
        <v>400</v>
      </c>
      <c r="W15" s="21">
        <f t="shared" ca="1" si="16"/>
        <v>820</v>
      </c>
      <c r="X15" s="21">
        <f t="shared" ca="1" si="16"/>
        <v>1460</v>
      </c>
      <c r="Y15" s="21">
        <f t="shared" ca="1" si="16"/>
        <v>1060</v>
      </c>
      <c r="Z15" s="21">
        <f t="shared" ca="1" si="16"/>
        <v>3200</v>
      </c>
      <c r="AA15" s="21">
        <f t="shared" ca="1" si="16"/>
        <v>0</v>
      </c>
      <c r="AB15" s="21">
        <f t="shared" ca="1" si="16"/>
        <v>0</v>
      </c>
      <c r="AC15" s="21">
        <f t="shared" ca="1" si="16"/>
        <v>0</v>
      </c>
      <c r="AD15" s="21">
        <f t="shared" ca="1" si="16"/>
        <v>0</v>
      </c>
    </row>
    <row r="16" spans="1:30">
      <c r="A16" s="44"/>
      <c r="B16" s="59"/>
      <c r="C16" s="38"/>
      <c r="D16" s="24"/>
      <c r="E16" s="17" t="s">
        <v>3</v>
      </c>
      <c r="F16" s="65">
        <v>0.2</v>
      </c>
      <c r="G16" s="108">
        <f t="shared" ref="G16:R16" ca="1" si="17">ROUND(G22/$F22,0)</f>
        <v>575</v>
      </c>
      <c r="H16" s="97">
        <f t="shared" ca="1" si="17"/>
        <v>450</v>
      </c>
      <c r="I16" s="97">
        <f t="shared" ca="1" si="17"/>
        <v>250</v>
      </c>
      <c r="J16" s="97">
        <f t="shared" ca="1" si="17"/>
        <v>250</v>
      </c>
      <c r="K16" s="97">
        <f t="shared" ca="1" si="17"/>
        <v>375</v>
      </c>
      <c r="L16" s="97">
        <f t="shared" ca="1" si="17"/>
        <v>700</v>
      </c>
      <c r="M16" s="97">
        <f t="shared" ca="1" si="17"/>
        <v>450</v>
      </c>
      <c r="N16" s="97">
        <f t="shared" ca="1" si="17"/>
        <v>1425</v>
      </c>
      <c r="O16" s="97">
        <f t="shared" ca="1" si="17"/>
        <v>450</v>
      </c>
      <c r="P16" s="97">
        <f t="shared" ca="1" si="17"/>
        <v>450</v>
      </c>
      <c r="Q16" s="97">
        <f t="shared" ca="1" si="17"/>
        <v>825</v>
      </c>
      <c r="R16" s="98">
        <f t="shared" ca="1" si="17"/>
        <v>825</v>
      </c>
      <c r="S16" s="21">
        <f t="shared" ref="S16:AD16" ca="1" si="18">ROUND(S22/$F22,0)</f>
        <v>1050</v>
      </c>
      <c r="T16" s="21">
        <f t="shared" ca="1" si="18"/>
        <v>900</v>
      </c>
      <c r="U16" s="21">
        <f t="shared" ca="1" si="18"/>
        <v>425</v>
      </c>
      <c r="V16" s="21">
        <f t="shared" ca="1" si="18"/>
        <v>325</v>
      </c>
      <c r="W16" s="21">
        <f t="shared" ca="1" si="18"/>
        <v>700</v>
      </c>
      <c r="X16" s="21">
        <f t="shared" ca="1" si="18"/>
        <v>1200</v>
      </c>
      <c r="Y16" s="21">
        <f t="shared" ca="1" si="18"/>
        <v>900</v>
      </c>
      <c r="Z16" s="21">
        <f t="shared" ca="1" si="18"/>
        <v>2675</v>
      </c>
      <c r="AA16" s="21">
        <f t="shared" ca="1" si="18"/>
        <v>0</v>
      </c>
      <c r="AB16" s="21">
        <f t="shared" ca="1" si="18"/>
        <v>0</v>
      </c>
      <c r="AC16" s="21">
        <f t="shared" ca="1" si="18"/>
        <v>0</v>
      </c>
      <c r="AD16" s="21">
        <f t="shared" ca="1" si="18"/>
        <v>0</v>
      </c>
    </row>
    <row r="17" spans="1:30">
      <c r="A17" s="47" t="s">
        <v>16</v>
      </c>
      <c r="B17" s="63">
        <v>20000</v>
      </c>
      <c r="C17" s="38"/>
      <c r="D17" s="24"/>
      <c r="E17" s="17" t="s">
        <v>4</v>
      </c>
      <c r="F17" s="65">
        <v>1</v>
      </c>
      <c r="G17" s="108">
        <f t="shared" ref="G17:R17" ca="1" si="19">ROUND(G23/$F23,0)</f>
        <v>18</v>
      </c>
      <c r="H17" s="97">
        <f t="shared" ca="1" si="19"/>
        <v>18</v>
      </c>
      <c r="I17" s="97">
        <f t="shared" ca="1" si="19"/>
        <v>9</v>
      </c>
      <c r="J17" s="97">
        <f t="shared" ca="1" si="19"/>
        <v>9</v>
      </c>
      <c r="K17" s="97">
        <f t="shared" ca="1" si="19"/>
        <v>18</v>
      </c>
      <c r="L17" s="97">
        <f t="shared" ca="1" si="19"/>
        <v>27</v>
      </c>
      <c r="M17" s="97">
        <f t="shared" ca="1" si="19"/>
        <v>18</v>
      </c>
      <c r="N17" s="97">
        <f t="shared" ca="1" si="19"/>
        <v>51</v>
      </c>
      <c r="O17" s="97">
        <f t="shared" ca="1" si="19"/>
        <v>18</v>
      </c>
      <c r="P17" s="97">
        <f t="shared" ca="1" si="19"/>
        <v>18</v>
      </c>
      <c r="Q17" s="97">
        <f t="shared" ca="1" si="19"/>
        <v>27</v>
      </c>
      <c r="R17" s="98">
        <f t="shared" ca="1" si="19"/>
        <v>27</v>
      </c>
      <c r="S17" s="21">
        <f t="shared" ref="S17:AD17" ca="1" si="20">ROUND(S23/$F23,0)</f>
        <v>38</v>
      </c>
      <c r="T17" s="21">
        <f t="shared" ca="1" si="20"/>
        <v>33</v>
      </c>
      <c r="U17" s="21">
        <f t="shared" ca="1" si="20"/>
        <v>15</v>
      </c>
      <c r="V17" s="21">
        <f t="shared" ca="1" si="20"/>
        <v>13</v>
      </c>
      <c r="W17" s="21">
        <f t="shared" ca="1" si="20"/>
        <v>25</v>
      </c>
      <c r="X17" s="21">
        <f t="shared" ca="1" si="20"/>
        <v>44</v>
      </c>
      <c r="Y17" s="21">
        <f t="shared" ca="1" si="20"/>
        <v>33</v>
      </c>
      <c r="Z17" s="21">
        <f t="shared" ca="1" si="20"/>
        <v>96</v>
      </c>
      <c r="AA17" s="21">
        <f t="shared" ca="1" si="20"/>
        <v>0</v>
      </c>
      <c r="AB17" s="21">
        <f t="shared" ca="1" si="20"/>
        <v>0</v>
      </c>
      <c r="AC17" s="21">
        <f t="shared" ca="1" si="20"/>
        <v>0</v>
      </c>
      <c r="AD17" s="21">
        <f t="shared" ca="1" si="20"/>
        <v>0</v>
      </c>
    </row>
    <row r="18" spans="1:30">
      <c r="A18" s="47" t="s">
        <v>18</v>
      </c>
      <c r="B18" s="64">
        <v>1</v>
      </c>
      <c r="C18" s="19"/>
      <c r="D18" s="27"/>
      <c r="E18" s="29"/>
      <c r="F18" s="30"/>
      <c r="G18" s="28"/>
      <c r="H18" s="28"/>
      <c r="I18" s="28"/>
      <c r="J18" s="28"/>
      <c r="K18" s="28"/>
      <c r="L18" s="28"/>
      <c r="M18" s="28"/>
      <c r="N18" s="28"/>
      <c r="O18" s="28"/>
      <c r="P18" s="28"/>
      <c r="Q18" s="28"/>
      <c r="R18" s="45"/>
      <c r="S18" s="20"/>
      <c r="T18" s="20"/>
      <c r="U18" s="20"/>
      <c r="V18" s="20"/>
      <c r="W18" s="20"/>
      <c r="X18" s="20"/>
      <c r="Y18" s="20"/>
      <c r="Z18" s="20"/>
      <c r="AA18" s="20"/>
      <c r="AB18" s="20"/>
      <c r="AC18" s="20"/>
      <c r="AD18" s="20"/>
    </row>
    <row r="19" spans="1:30">
      <c r="A19" s="47" t="s">
        <v>17</v>
      </c>
      <c r="B19" s="64">
        <v>3</v>
      </c>
      <c r="C19" s="39"/>
      <c r="D19" s="24"/>
      <c r="E19" s="11" t="s">
        <v>6</v>
      </c>
      <c r="F19" s="14">
        <f ca="1">G19/G13</f>
        <v>0.60595446584938706</v>
      </c>
      <c r="G19" s="15">
        <f ca="1">SUM(G20:G23)</f>
        <v>1038</v>
      </c>
      <c r="H19" s="15">
        <f t="shared" ref="H19:R19" ca="1" si="21">SUM(H20:H23)</f>
        <v>838</v>
      </c>
      <c r="I19" s="15">
        <f t="shared" ca="1" si="21"/>
        <v>459</v>
      </c>
      <c r="J19" s="15">
        <f t="shared" ca="1" si="21"/>
        <v>409</v>
      </c>
      <c r="K19" s="15">
        <f t="shared" ca="1" si="21"/>
        <v>698</v>
      </c>
      <c r="L19" s="15">
        <f t="shared" ca="1" si="21"/>
        <v>1247</v>
      </c>
      <c r="M19" s="15">
        <f t="shared" ca="1" si="21"/>
        <v>838</v>
      </c>
      <c r="N19" s="15">
        <f t="shared" ca="1" si="21"/>
        <v>2661</v>
      </c>
      <c r="O19" s="15">
        <f t="shared" ca="1" si="21"/>
        <v>838</v>
      </c>
      <c r="P19" s="15">
        <f t="shared" ca="1" si="21"/>
        <v>838</v>
      </c>
      <c r="Q19" s="15">
        <f t="shared" ca="1" si="21"/>
        <v>1497</v>
      </c>
      <c r="R19" s="68">
        <f t="shared" ca="1" si="21"/>
        <v>1497</v>
      </c>
      <c r="S19" s="21">
        <f t="shared" ref="S19:AD19" ca="1" si="22">SUM(S20:S23)</f>
        <v>1918</v>
      </c>
      <c r="T19" s="21">
        <f t="shared" ca="1" si="22"/>
        <v>1643</v>
      </c>
      <c r="U19" s="21">
        <f t="shared" ca="1" si="22"/>
        <v>775</v>
      </c>
      <c r="V19" s="21">
        <f t="shared" ca="1" si="22"/>
        <v>603</v>
      </c>
      <c r="W19" s="21">
        <f t="shared" ca="1" si="22"/>
        <v>1275</v>
      </c>
      <c r="X19" s="21">
        <f t="shared" ca="1" si="22"/>
        <v>2214</v>
      </c>
      <c r="Y19" s="21">
        <f t="shared" ca="1" si="22"/>
        <v>1643</v>
      </c>
      <c r="Z19" s="21">
        <f t="shared" ca="1" si="22"/>
        <v>4906</v>
      </c>
      <c r="AA19" s="21">
        <f t="shared" ca="1" si="22"/>
        <v>0</v>
      </c>
      <c r="AB19" s="21">
        <f t="shared" ca="1" si="22"/>
        <v>0</v>
      </c>
      <c r="AC19" s="21">
        <f t="shared" ca="1" si="22"/>
        <v>0</v>
      </c>
      <c r="AD19" s="21">
        <f t="shared" ca="1" si="22"/>
        <v>0</v>
      </c>
    </row>
    <row r="20" spans="1:30">
      <c r="A20" s="44"/>
      <c r="B20" s="59"/>
      <c r="C20" s="40"/>
      <c r="D20" s="24"/>
      <c r="E20" s="17" t="s">
        <v>1</v>
      </c>
      <c r="F20" s="65">
        <v>0.5</v>
      </c>
      <c r="G20" s="108">
        <f t="shared" ref="G20:R20" ca="1" si="23">ROUND(G26/$F26,0)</f>
        <v>230</v>
      </c>
      <c r="H20" s="97">
        <f t="shared" ca="1" si="23"/>
        <v>180</v>
      </c>
      <c r="I20" s="97">
        <f t="shared" ca="1" si="23"/>
        <v>100</v>
      </c>
      <c r="J20" s="97">
        <f t="shared" ca="1" si="23"/>
        <v>100</v>
      </c>
      <c r="K20" s="97">
        <f t="shared" ca="1" si="23"/>
        <v>150</v>
      </c>
      <c r="L20" s="97">
        <f t="shared" ca="1" si="23"/>
        <v>280</v>
      </c>
      <c r="M20" s="97">
        <f t="shared" ca="1" si="23"/>
        <v>180</v>
      </c>
      <c r="N20" s="97">
        <f t="shared" ca="1" si="23"/>
        <v>570</v>
      </c>
      <c r="O20" s="97">
        <f t="shared" ca="1" si="23"/>
        <v>180</v>
      </c>
      <c r="P20" s="97">
        <f t="shared" ca="1" si="23"/>
        <v>180</v>
      </c>
      <c r="Q20" s="97">
        <f t="shared" ca="1" si="23"/>
        <v>330</v>
      </c>
      <c r="R20" s="98">
        <f t="shared" ca="1" si="23"/>
        <v>330</v>
      </c>
      <c r="S20" s="21">
        <f t="shared" ref="S20:AD20" ca="1" si="24">ROUND(S26/$F26,0)</f>
        <v>420</v>
      </c>
      <c r="T20" s="21">
        <f t="shared" ca="1" si="24"/>
        <v>360</v>
      </c>
      <c r="U20" s="21">
        <f t="shared" ca="1" si="24"/>
        <v>170</v>
      </c>
      <c r="V20" s="21">
        <f t="shared" ca="1" si="24"/>
        <v>130</v>
      </c>
      <c r="W20" s="21">
        <f t="shared" ca="1" si="24"/>
        <v>280</v>
      </c>
      <c r="X20" s="21">
        <f t="shared" ca="1" si="24"/>
        <v>480</v>
      </c>
      <c r="Y20" s="21">
        <f t="shared" ca="1" si="24"/>
        <v>360</v>
      </c>
      <c r="Z20" s="21">
        <f t="shared" ca="1" si="24"/>
        <v>1070</v>
      </c>
      <c r="AA20" s="21">
        <f t="shared" ca="1" si="24"/>
        <v>0</v>
      </c>
      <c r="AB20" s="21">
        <f t="shared" ca="1" si="24"/>
        <v>0</v>
      </c>
      <c r="AC20" s="21">
        <f t="shared" ca="1" si="24"/>
        <v>0</v>
      </c>
      <c r="AD20" s="21">
        <f t="shared" ca="1" si="24"/>
        <v>0</v>
      </c>
    </row>
    <row r="21" spans="1:30">
      <c r="A21" s="47" t="s">
        <v>23</v>
      </c>
      <c r="B21" s="88">
        <v>500000</v>
      </c>
      <c r="C21" s="40"/>
      <c r="D21" s="24"/>
      <c r="E21" s="17" t="s">
        <v>2</v>
      </c>
      <c r="F21" s="65">
        <v>0.5</v>
      </c>
      <c r="G21" s="108">
        <f t="shared" ref="G21:R21" ca="1" si="25">ROUND(G27/$F27,0)</f>
        <v>330</v>
      </c>
      <c r="H21" s="97">
        <f t="shared" ca="1" si="25"/>
        <v>280</v>
      </c>
      <c r="I21" s="97">
        <f t="shared" ca="1" si="25"/>
        <v>150</v>
      </c>
      <c r="J21" s="97">
        <f t="shared" ca="1" si="25"/>
        <v>100</v>
      </c>
      <c r="K21" s="97">
        <f t="shared" ca="1" si="25"/>
        <v>230</v>
      </c>
      <c r="L21" s="97">
        <f t="shared" ca="1" si="25"/>
        <v>380</v>
      </c>
      <c r="M21" s="97">
        <f t="shared" ca="1" si="25"/>
        <v>280</v>
      </c>
      <c r="N21" s="97">
        <f t="shared" ca="1" si="25"/>
        <v>900</v>
      </c>
      <c r="O21" s="97">
        <f t="shared" ca="1" si="25"/>
        <v>280</v>
      </c>
      <c r="P21" s="97">
        <f t="shared" ca="1" si="25"/>
        <v>280</v>
      </c>
      <c r="Q21" s="97">
        <f t="shared" ca="1" si="25"/>
        <v>480</v>
      </c>
      <c r="R21" s="98">
        <f t="shared" ca="1" si="25"/>
        <v>480</v>
      </c>
      <c r="S21" s="21">
        <f t="shared" ref="S21:AD21" ca="1" si="26">ROUND(S27/$F27,0)</f>
        <v>620</v>
      </c>
      <c r="T21" s="21">
        <f t="shared" ca="1" si="26"/>
        <v>530</v>
      </c>
      <c r="U21" s="21">
        <f t="shared" ca="1" si="26"/>
        <v>250</v>
      </c>
      <c r="V21" s="21">
        <f t="shared" ca="1" si="26"/>
        <v>200</v>
      </c>
      <c r="W21" s="21">
        <f t="shared" ca="1" si="26"/>
        <v>410</v>
      </c>
      <c r="X21" s="21">
        <f t="shared" ca="1" si="26"/>
        <v>730</v>
      </c>
      <c r="Y21" s="21">
        <f t="shared" ca="1" si="26"/>
        <v>530</v>
      </c>
      <c r="Z21" s="21">
        <f t="shared" ca="1" si="26"/>
        <v>1600</v>
      </c>
      <c r="AA21" s="21">
        <f t="shared" ca="1" si="26"/>
        <v>0</v>
      </c>
      <c r="AB21" s="21">
        <f t="shared" ca="1" si="26"/>
        <v>0</v>
      </c>
      <c r="AC21" s="21">
        <f t="shared" ca="1" si="26"/>
        <v>0</v>
      </c>
      <c r="AD21" s="21">
        <f t="shared" ca="1" si="26"/>
        <v>0</v>
      </c>
    </row>
    <row r="22" spans="1:30">
      <c r="A22" s="44"/>
      <c r="B22" s="45"/>
      <c r="C22" s="19"/>
      <c r="D22" s="24"/>
      <c r="E22" s="17" t="s">
        <v>3</v>
      </c>
      <c r="F22" s="65">
        <v>0.8</v>
      </c>
      <c r="G22" s="108">
        <f t="shared" ref="G22:R22" ca="1" si="27">ROUND(G28/$F28,0)</f>
        <v>460</v>
      </c>
      <c r="H22" s="97">
        <f t="shared" ca="1" si="27"/>
        <v>360</v>
      </c>
      <c r="I22" s="97">
        <f t="shared" ca="1" si="27"/>
        <v>200</v>
      </c>
      <c r="J22" s="97">
        <f t="shared" ca="1" si="27"/>
        <v>200</v>
      </c>
      <c r="K22" s="97">
        <f t="shared" ca="1" si="27"/>
        <v>300</v>
      </c>
      <c r="L22" s="97">
        <f t="shared" ca="1" si="27"/>
        <v>560</v>
      </c>
      <c r="M22" s="97">
        <f t="shared" ca="1" si="27"/>
        <v>360</v>
      </c>
      <c r="N22" s="97">
        <f t="shared" ca="1" si="27"/>
        <v>1140</v>
      </c>
      <c r="O22" s="97">
        <f t="shared" ca="1" si="27"/>
        <v>360</v>
      </c>
      <c r="P22" s="97">
        <f t="shared" ca="1" si="27"/>
        <v>360</v>
      </c>
      <c r="Q22" s="97">
        <f t="shared" ca="1" si="27"/>
        <v>660</v>
      </c>
      <c r="R22" s="98">
        <f t="shared" ca="1" si="27"/>
        <v>660</v>
      </c>
      <c r="S22" s="21">
        <f t="shared" ref="S22:AD22" ca="1" si="28">ROUND(S28/$F28,0)</f>
        <v>840</v>
      </c>
      <c r="T22" s="21">
        <f t="shared" ca="1" si="28"/>
        <v>720</v>
      </c>
      <c r="U22" s="21">
        <f t="shared" ca="1" si="28"/>
        <v>340</v>
      </c>
      <c r="V22" s="21">
        <f t="shared" ca="1" si="28"/>
        <v>260</v>
      </c>
      <c r="W22" s="21">
        <f t="shared" ca="1" si="28"/>
        <v>560</v>
      </c>
      <c r="X22" s="21">
        <f t="shared" ca="1" si="28"/>
        <v>960</v>
      </c>
      <c r="Y22" s="21">
        <f t="shared" ca="1" si="28"/>
        <v>720</v>
      </c>
      <c r="Z22" s="21">
        <f t="shared" ca="1" si="28"/>
        <v>2140</v>
      </c>
      <c r="AA22" s="21">
        <f t="shared" ca="1" si="28"/>
        <v>0</v>
      </c>
      <c r="AB22" s="21">
        <f t="shared" ca="1" si="28"/>
        <v>0</v>
      </c>
      <c r="AC22" s="21">
        <f t="shared" ca="1" si="28"/>
        <v>0</v>
      </c>
      <c r="AD22" s="21">
        <f t="shared" ca="1" si="28"/>
        <v>0</v>
      </c>
    </row>
    <row r="23" spans="1:30" ht="16" thickBot="1">
      <c r="A23" s="89" t="s">
        <v>60</v>
      </c>
      <c r="B23" s="90">
        <v>1000</v>
      </c>
      <c r="C23" s="34"/>
      <c r="D23" s="24"/>
      <c r="E23" s="17" t="s">
        <v>4</v>
      </c>
      <c r="F23" s="65">
        <v>1</v>
      </c>
      <c r="G23" s="108">
        <f ca="1">ROUND(G29/$F29,0)</f>
        <v>18</v>
      </c>
      <c r="H23" s="97">
        <f t="shared" ref="H23:R23" ca="1" si="29">ROUND(H29/$F29,0)</f>
        <v>18</v>
      </c>
      <c r="I23" s="97">
        <f t="shared" ca="1" si="29"/>
        <v>9</v>
      </c>
      <c r="J23" s="97">
        <f t="shared" ca="1" si="29"/>
        <v>9</v>
      </c>
      <c r="K23" s="97">
        <f t="shared" ca="1" si="29"/>
        <v>18</v>
      </c>
      <c r="L23" s="97">
        <f t="shared" ca="1" si="29"/>
        <v>27</v>
      </c>
      <c r="M23" s="97">
        <f t="shared" ca="1" si="29"/>
        <v>18</v>
      </c>
      <c r="N23" s="97">
        <f t="shared" ca="1" si="29"/>
        <v>51</v>
      </c>
      <c r="O23" s="97">
        <f t="shared" ca="1" si="29"/>
        <v>18</v>
      </c>
      <c r="P23" s="97">
        <f t="shared" ca="1" si="29"/>
        <v>18</v>
      </c>
      <c r="Q23" s="97">
        <f t="shared" ca="1" si="29"/>
        <v>27</v>
      </c>
      <c r="R23" s="98">
        <f t="shared" ca="1" si="29"/>
        <v>27</v>
      </c>
      <c r="S23" s="21">
        <f t="shared" ref="S23:AD23" ca="1" si="30">ROUND(S29/$F29,0)</f>
        <v>38</v>
      </c>
      <c r="T23" s="21">
        <f t="shared" ca="1" si="30"/>
        <v>33</v>
      </c>
      <c r="U23" s="21">
        <f t="shared" ca="1" si="30"/>
        <v>15</v>
      </c>
      <c r="V23" s="21">
        <f t="shared" ca="1" si="30"/>
        <v>13</v>
      </c>
      <c r="W23" s="21">
        <f t="shared" ca="1" si="30"/>
        <v>25</v>
      </c>
      <c r="X23" s="21">
        <f t="shared" ca="1" si="30"/>
        <v>44</v>
      </c>
      <c r="Y23" s="21">
        <f t="shared" ca="1" si="30"/>
        <v>33</v>
      </c>
      <c r="Z23" s="21">
        <f t="shared" ca="1" si="30"/>
        <v>96</v>
      </c>
      <c r="AA23" s="21">
        <f t="shared" ca="1" si="30"/>
        <v>0</v>
      </c>
      <c r="AB23" s="21">
        <f t="shared" ca="1" si="30"/>
        <v>0</v>
      </c>
      <c r="AC23" s="21">
        <f t="shared" ca="1" si="30"/>
        <v>0</v>
      </c>
      <c r="AD23" s="21">
        <f t="shared" ca="1" si="30"/>
        <v>0</v>
      </c>
    </row>
    <row r="24" spans="1:30" ht="16" thickTop="1">
      <c r="C24" s="19"/>
      <c r="D24" s="27"/>
      <c r="E24" s="29"/>
      <c r="F24" s="30"/>
      <c r="G24" s="28"/>
      <c r="H24" s="28"/>
      <c r="I24" s="28"/>
      <c r="J24" s="28"/>
      <c r="K24" s="28"/>
      <c r="L24" s="28"/>
      <c r="M24" s="28"/>
      <c r="N24" s="28"/>
      <c r="O24" s="28"/>
      <c r="P24" s="28"/>
      <c r="Q24" s="28"/>
      <c r="R24" s="45"/>
      <c r="S24" s="20"/>
      <c r="T24" s="20"/>
      <c r="U24" s="20"/>
      <c r="V24" s="20"/>
      <c r="W24" s="20"/>
      <c r="X24" s="20"/>
      <c r="Y24" s="20"/>
      <c r="Z24" s="20"/>
      <c r="AA24" s="20"/>
      <c r="AB24" s="20"/>
      <c r="AC24" s="20"/>
      <c r="AD24" s="20"/>
    </row>
    <row r="25" spans="1:30">
      <c r="A25" s="49" t="s">
        <v>57</v>
      </c>
      <c r="B25" s="103"/>
      <c r="C25" s="19"/>
      <c r="D25" s="24"/>
      <c r="E25" s="11" t="s">
        <v>33</v>
      </c>
      <c r="F25" s="14">
        <f ca="1">G25/G19</f>
        <v>0.10886319845857419</v>
      </c>
      <c r="G25" s="15">
        <f t="shared" ref="G25:AD25" ca="1" si="31">ROUND(OFFSET(G32,0,$B$19)/$F$32,0)</f>
        <v>113</v>
      </c>
      <c r="H25" s="15">
        <f t="shared" ca="1" si="31"/>
        <v>93</v>
      </c>
      <c r="I25" s="15">
        <f t="shared" ca="1" si="31"/>
        <v>50</v>
      </c>
      <c r="J25" s="15">
        <f t="shared" ca="1" si="31"/>
        <v>45</v>
      </c>
      <c r="K25" s="15">
        <f t="shared" ca="1" si="31"/>
        <v>78</v>
      </c>
      <c r="L25" s="15">
        <f t="shared" ca="1" si="31"/>
        <v>138</v>
      </c>
      <c r="M25" s="15">
        <f t="shared" ca="1" si="31"/>
        <v>93</v>
      </c>
      <c r="N25" s="15">
        <f t="shared" ca="1" si="31"/>
        <v>288</v>
      </c>
      <c r="O25" s="15">
        <f t="shared" ca="1" si="31"/>
        <v>93</v>
      </c>
      <c r="P25" s="15">
        <f t="shared" ca="1" si="31"/>
        <v>98</v>
      </c>
      <c r="Q25" s="15">
        <f t="shared" ca="1" si="31"/>
        <v>155</v>
      </c>
      <c r="R25" s="68">
        <f t="shared" ca="1" si="31"/>
        <v>163</v>
      </c>
      <c r="S25" s="21">
        <f t="shared" ca="1" si="31"/>
        <v>208</v>
      </c>
      <c r="T25" s="21">
        <f t="shared" ca="1" si="31"/>
        <v>178</v>
      </c>
      <c r="U25" s="21">
        <f t="shared" ca="1" si="31"/>
        <v>83</v>
      </c>
      <c r="V25" s="21">
        <f t="shared" ca="1" si="31"/>
        <v>65</v>
      </c>
      <c r="W25" s="21">
        <f t="shared" ca="1" si="31"/>
        <v>138</v>
      </c>
      <c r="X25" s="21">
        <f t="shared" ca="1" si="31"/>
        <v>242</v>
      </c>
      <c r="Y25" s="21">
        <f t="shared" ca="1" si="31"/>
        <v>178</v>
      </c>
      <c r="Z25" s="21">
        <f t="shared" ca="1" si="31"/>
        <v>533</v>
      </c>
      <c r="AA25" s="21">
        <f t="shared" ca="1" si="31"/>
        <v>0</v>
      </c>
      <c r="AB25" s="21">
        <f t="shared" ca="1" si="31"/>
        <v>0</v>
      </c>
      <c r="AC25" s="21">
        <f t="shared" ca="1" si="31"/>
        <v>0</v>
      </c>
      <c r="AD25" s="21">
        <f t="shared" ca="1" si="31"/>
        <v>0</v>
      </c>
    </row>
    <row r="26" spans="1:30">
      <c r="A26" s="52" t="s">
        <v>24</v>
      </c>
      <c r="B26" s="50">
        <f ca="1">$B$21/SUM(G7:R7)</f>
        <v>7.8985198173862221</v>
      </c>
      <c r="C26" s="41"/>
      <c r="D26" s="24"/>
      <c r="E26" s="17" t="s">
        <v>1</v>
      </c>
      <c r="F26" s="65">
        <v>0.1</v>
      </c>
      <c r="G26" s="108">
        <f t="shared" ref="G26:R26" ca="1" si="32">ROUND(OFFSET(G33,0,$B$19)/$F33,0)</f>
        <v>23</v>
      </c>
      <c r="H26" s="97">
        <f t="shared" ca="1" si="32"/>
        <v>18</v>
      </c>
      <c r="I26" s="97">
        <f t="shared" ca="1" si="32"/>
        <v>10</v>
      </c>
      <c r="J26" s="97">
        <f t="shared" ca="1" si="32"/>
        <v>10</v>
      </c>
      <c r="K26" s="97">
        <f t="shared" ca="1" si="32"/>
        <v>15</v>
      </c>
      <c r="L26" s="97">
        <f t="shared" ca="1" si="32"/>
        <v>28</v>
      </c>
      <c r="M26" s="97">
        <f t="shared" ca="1" si="32"/>
        <v>18</v>
      </c>
      <c r="N26" s="97">
        <f t="shared" ca="1" si="32"/>
        <v>57</v>
      </c>
      <c r="O26" s="97">
        <f t="shared" ca="1" si="32"/>
        <v>18</v>
      </c>
      <c r="P26" s="97">
        <f t="shared" ca="1" si="32"/>
        <v>18</v>
      </c>
      <c r="Q26" s="97">
        <f t="shared" ca="1" si="32"/>
        <v>33</v>
      </c>
      <c r="R26" s="97">
        <f t="shared" ca="1" si="32"/>
        <v>33</v>
      </c>
      <c r="S26" s="21">
        <f t="shared" ref="S26:AD26" ca="1" si="33">ROUND((S$25*$B10),0)</f>
        <v>42</v>
      </c>
      <c r="T26" s="21">
        <f t="shared" ca="1" si="33"/>
        <v>36</v>
      </c>
      <c r="U26" s="21">
        <f t="shared" ca="1" si="33"/>
        <v>17</v>
      </c>
      <c r="V26" s="21">
        <f t="shared" ca="1" si="33"/>
        <v>13</v>
      </c>
      <c r="W26" s="21">
        <f t="shared" ca="1" si="33"/>
        <v>28</v>
      </c>
      <c r="X26" s="21">
        <f t="shared" ca="1" si="33"/>
        <v>48</v>
      </c>
      <c r="Y26" s="21">
        <f t="shared" ca="1" si="33"/>
        <v>36</v>
      </c>
      <c r="Z26" s="21">
        <f t="shared" ca="1" si="33"/>
        <v>107</v>
      </c>
      <c r="AA26" s="21">
        <f t="shared" ca="1" si="33"/>
        <v>0</v>
      </c>
      <c r="AB26" s="21">
        <f t="shared" ca="1" si="33"/>
        <v>0</v>
      </c>
      <c r="AC26" s="21">
        <f t="shared" ca="1" si="33"/>
        <v>0</v>
      </c>
      <c r="AD26" s="21">
        <f t="shared" ca="1" si="33"/>
        <v>0</v>
      </c>
    </row>
    <row r="27" spans="1:30">
      <c r="A27" s="52" t="s">
        <v>25</v>
      </c>
      <c r="B27" s="50">
        <f ca="1">$B$21/SUM(G13:R13)</f>
        <v>23.537165183825259</v>
      </c>
      <c r="C27" s="41"/>
      <c r="D27" s="24"/>
      <c r="E27" s="17" t="s">
        <v>2</v>
      </c>
      <c r="F27" s="65">
        <v>0.1</v>
      </c>
      <c r="G27" s="108">
        <f t="shared" ref="G27:R27" ca="1" si="34">ROUND(OFFSET(G34,0,$B$19)/$F34,0)</f>
        <v>33</v>
      </c>
      <c r="H27" s="97">
        <f t="shared" ca="1" si="34"/>
        <v>28</v>
      </c>
      <c r="I27" s="97">
        <f t="shared" ca="1" si="34"/>
        <v>15</v>
      </c>
      <c r="J27" s="97">
        <f t="shared" ca="1" si="34"/>
        <v>10</v>
      </c>
      <c r="K27" s="97">
        <f t="shared" ca="1" si="34"/>
        <v>23</v>
      </c>
      <c r="L27" s="97">
        <f t="shared" ca="1" si="34"/>
        <v>38</v>
      </c>
      <c r="M27" s="97">
        <f t="shared" ca="1" si="34"/>
        <v>28</v>
      </c>
      <c r="N27" s="97">
        <f t="shared" ca="1" si="34"/>
        <v>90</v>
      </c>
      <c r="O27" s="97">
        <f t="shared" ca="1" si="34"/>
        <v>28</v>
      </c>
      <c r="P27" s="97">
        <f t="shared" ca="1" si="34"/>
        <v>28</v>
      </c>
      <c r="Q27" s="97">
        <f t="shared" ca="1" si="34"/>
        <v>48</v>
      </c>
      <c r="R27" s="97">
        <f t="shared" ca="1" si="34"/>
        <v>48</v>
      </c>
      <c r="S27" s="21">
        <f t="shared" ref="S27:AD27" ca="1" si="35">ROUND((S$25*$B11),0)</f>
        <v>62</v>
      </c>
      <c r="T27" s="21">
        <f t="shared" ca="1" si="35"/>
        <v>53</v>
      </c>
      <c r="U27" s="21">
        <f t="shared" ca="1" si="35"/>
        <v>25</v>
      </c>
      <c r="V27" s="21">
        <f t="shared" ca="1" si="35"/>
        <v>20</v>
      </c>
      <c r="W27" s="21">
        <f t="shared" ca="1" si="35"/>
        <v>41</v>
      </c>
      <c r="X27" s="21">
        <f t="shared" ca="1" si="35"/>
        <v>73</v>
      </c>
      <c r="Y27" s="21">
        <f t="shared" ca="1" si="35"/>
        <v>53</v>
      </c>
      <c r="Z27" s="21">
        <f t="shared" ca="1" si="35"/>
        <v>160</v>
      </c>
      <c r="AA27" s="21">
        <f t="shared" ca="1" si="35"/>
        <v>0</v>
      </c>
      <c r="AB27" s="21">
        <f t="shared" ca="1" si="35"/>
        <v>0</v>
      </c>
      <c r="AC27" s="21">
        <f t="shared" ca="1" si="35"/>
        <v>0</v>
      </c>
      <c r="AD27" s="21">
        <f t="shared" ca="1" si="35"/>
        <v>0</v>
      </c>
    </row>
    <row r="28" spans="1:30">
      <c r="A28" s="52" t="s">
        <v>26</v>
      </c>
      <c r="B28" s="50">
        <f ca="1">$B$21/SUM(G19:R19)</f>
        <v>38.886296469124282</v>
      </c>
      <c r="C28" s="41"/>
      <c r="D28" s="24"/>
      <c r="E28" s="17" t="s">
        <v>3</v>
      </c>
      <c r="F28" s="65">
        <v>0.05</v>
      </c>
      <c r="G28" s="108">
        <f t="shared" ref="G28:R28" ca="1" si="36">ROUND(OFFSET(G35,0,$B$19)/$F35,0)</f>
        <v>23</v>
      </c>
      <c r="H28" s="97">
        <f t="shared" ca="1" si="36"/>
        <v>18</v>
      </c>
      <c r="I28" s="97">
        <f t="shared" ca="1" si="36"/>
        <v>10</v>
      </c>
      <c r="J28" s="97">
        <f t="shared" ca="1" si="36"/>
        <v>10</v>
      </c>
      <c r="K28" s="97">
        <f t="shared" ca="1" si="36"/>
        <v>15</v>
      </c>
      <c r="L28" s="97">
        <f t="shared" ca="1" si="36"/>
        <v>28</v>
      </c>
      <c r="M28" s="97">
        <f t="shared" ca="1" si="36"/>
        <v>18</v>
      </c>
      <c r="N28" s="97">
        <f t="shared" ca="1" si="36"/>
        <v>57</v>
      </c>
      <c r="O28" s="97">
        <f t="shared" ca="1" si="36"/>
        <v>18</v>
      </c>
      <c r="P28" s="97">
        <f t="shared" ca="1" si="36"/>
        <v>18</v>
      </c>
      <c r="Q28" s="97">
        <f t="shared" ca="1" si="36"/>
        <v>33</v>
      </c>
      <c r="R28" s="97">
        <f t="shared" ca="1" si="36"/>
        <v>33</v>
      </c>
      <c r="S28" s="21">
        <f t="shared" ref="S28:AD28" ca="1" si="37">ROUND((S$25*$B12),0)</f>
        <v>42</v>
      </c>
      <c r="T28" s="21">
        <f t="shared" ca="1" si="37"/>
        <v>36</v>
      </c>
      <c r="U28" s="21">
        <f t="shared" ca="1" si="37"/>
        <v>17</v>
      </c>
      <c r="V28" s="21">
        <f t="shared" ca="1" si="37"/>
        <v>13</v>
      </c>
      <c r="W28" s="21">
        <f t="shared" ca="1" si="37"/>
        <v>28</v>
      </c>
      <c r="X28" s="21">
        <f t="shared" ca="1" si="37"/>
        <v>48</v>
      </c>
      <c r="Y28" s="21">
        <f t="shared" ca="1" si="37"/>
        <v>36</v>
      </c>
      <c r="Z28" s="21">
        <f t="shared" ca="1" si="37"/>
        <v>107</v>
      </c>
      <c r="AA28" s="21">
        <f t="shared" ca="1" si="37"/>
        <v>0</v>
      </c>
      <c r="AB28" s="21">
        <f t="shared" ca="1" si="37"/>
        <v>0</v>
      </c>
      <c r="AC28" s="21">
        <f t="shared" ca="1" si="37"/>
        <v>0</v>
      </c>
      <c r="AD28" s="21">
        <f t="shared" ca="1" si="37"/>
        <v>0</v>
      </c>
    </row>
    <row r="29" spans="1:30">
      <c r="A29" s="52" t="s">
        <v>27</v>
      </c>
      <c r="B29" s="50">
        <f ca="1">$B$21/SUM(G32:R32)</f>
        <v>678.42605156037996</v>
      </c>
      <c r="C29" s="41"/>
      <c r="D29" s="24"/>
      <c r="E29" s="17" t="s">
        <v>4</v>
      </c>
      <c r="F29" s="65">
        <v>0.55000000000000004</v>
      </c>
      <c r="G29" s="108">
        <f t="shared" ref="G29:R29" ca="1" si="38">ROUND(OFFSET(G36,0,$B$19)/$F36,0)</f>
        <v>10</v>
      </c>
      <c r="H29" s="97">
        <f t="shared" ca="1" si="38"/>
        <v>10</v>
      </c>
      <c r="I29" s="97">
        <f t="shared" ca="1" si="38"/>
        <v>5</v>
      </c>
      <c r="J29" s="97">
        <f t="shared" ca="1" si="38"/>
        <v>5</v>
      </c>
      <c r="K29" s="97">
        <f t="shared" ca="1" si="38"/>
        <v>10</v>
      </c>
      <c r="L29" s="97">
        <f t="shared" ca="1" si="38"/>
        <v>15</v>
      </c>
      <c r="M29" s="97">
        <f t="shared" ca="1" si="38"/>
        <v>10</v>
      </c>
      <c r="N29" s="97">
        <f t="shared" ca="1" si="38"/>
        <v>28</v>
      </c>
      <c r="O29" s="97">
        <f t="shared" ca="1" si="38"/>
        <v>10</v>
      </c>
      <c r="P29" s="97">
        <f t="shared" ca="1" si="38"/>
        <v>10</v>
      </c>
      <c r="Q29" s="97">
        <f t="shared" ca="1" si="38"/>
        <v>15</v>
      </c>
      <c r="R29" s="97">
        <f t="shared" ca="1" si="38"/>
        <v>15</v>
      </c>
      <c r="S29" s="21">
        <f t="shared" ref="S29:AD29" ca="1" si="39">ROUND((S$25*$B13),0)</f>
        <v>21</v>
      </c>
      <c r="T29" s="21">
        <f t="shared" ca="1" si="39"/>
        <v>18</v>
      </c>
      <c r="U29" s="21">
        <f t="shared" ca="1" si="39"/>
        <v>8</v>
      </c>
      <c r="V29" s="21">
        <f t="shared" ca="1" si="39"/>
        <v>7</v>
      </c>
      <c r="W29" s="21">
        <f t="shared" ca="1" si="39"/>
        <v>14</v>
      </c>
      <c r="X29" s="21">
        <f t="shared" ca="1" si="39"/>
        <v>24</v>
      </c>
      <c r="Y29" s="21">
        <f t="shared" ca="1" si="39"/>
        <v>18</v>
      </c>
      <c r="Z29" s="21">
        <f t="shared" ca="1" si="39"/>
        <v>53</v>
      </c>
      <c r="AA29" s="21">
        <f t="shared" ca="1" si="39"/>
        <v>0</v>
      </c>
      <c r="AB29" s="21">
        <f t="shared" ca="1" si="39"/>
        <v>0</v>
      </c>
      <c r="AC29" s="21">
        <f t="shared" ca="1" si="39"/>
        <v>0</v>
      </c>
      <c r="AD29" s="21">
        <f t="shared" ca="1" si="39"/>
        <v>0</v>
      </c>
    </row>
    <row r="30" spans="1:30">
      <c r="A30" s="53" t="s">
        <v>28</v>
      </c>
      <c r="B30" s="51">
        <f>$B$21/SUM(G46:R46)</f>
        <v>2000</v>
      </c>
      <c r="C30" s="41"/>
      <c r="D30" s="24"/>
      <c r="E30" s="17" t="s">
        <v>5</v>
      </c>
      <c r="F30" s="2" t="s">
        <v>22</v>
      </c>
      <c r="G30" s="108">
        <f ca="1">ROUND(OFFSET(G37,0,$B$19)/$F37,0)</f>
        <v>23</v>
      </c>
      <c r="H30" s="97">
        <f t="shared" ref="H30:R30" ca="1" si="40">ROUND(OFFSET(H37,0,$B$19)/$F37,0)</f>
        <v>18</v>
      </c>
      <c r="I30" s="97">
        <f t="shared" ca="1" si="40"/>
        <v>10</v>
      </c>
      <c r="J30" s="97">
        <f t="shared" ca="1" si="40"/>
        <v>10</v>
      </c>
      <c r="K30" s="97">
        <f t="shared" ca="1" si="40"/>
        <v>15</v>
      </c>
      <c r="L30" s="97">
        <f t="shared" ca="1" si="40"/>
        <v>28</v>
      </c>
      <c r="M30" s="97">
        <f t="shared" ca="1" si="40"/>
        <v>18</v>
      </c>
      <c r="N30" s="97">
        <f t="shared" ca="1" si="40"/>
        <v>57</v>
      </c>
      <c r="O30" s="97">
        <f t="shared" ca="1" si="40"/>
        <v>18</v>
      </c>
      <c r="P30" s="97">
        <f t="shared" ca="1" si="40"/>
        <v>18</v>
      </c>
      <c r="Q30" s="97">
        <f t="shared" ca="1" si="40"/>
        <v>33</v>
      </c>
      <c r="R30" s="97">
        <f t="shared" ca="1" si="40"/>
        <v>33</v>
      </c>
      <c r="S30" s="21">
        <f t="shared" ref="S30:AD30" ca="1" si="41">ROUND((S$25*$B14),0)</f>
        <v>42</v>
      </c>
      <c r="T30" s="21">
        <f t="shared" ca="1" si="41"/>
        <v>36</v>
      </c>
      <c r="U30" s="21">
        <f t="shared" ca="1" si="41"/>
        <v>17</v>
      </c>
      <c r="V30" s="21">
        <f t="shared" ca="1" si="41"/>
        <v>13</v>
      </c>
      <c r="W30" s="21">
        <f t="shared" ca="1" si="41"/>
        <v>28</v>
      </c>
      <c r="X30" s="21">
        <f t="shared" ca="1" si="41"/>
        <v>48</v>
      </c>
      <c r="Y30" s="21">
        <f t="shared" ca="1" si="41"/>
        <v>36</v>
      </c>
      <c r="Z30" s="21">
        <f t="shared" ca="1" si="41"/>
        <v>107</v>
      </c>
      <c r="AA30" s="21">
        <f t="shared" ca="1" si="41"/>
        <v>0</v>
      </c>
      <c r="AB30" s="21">
        <f t="shared" ca="1" si="41"/>
        <v>0</v>
      </c>
      <c r="AC30" s="21">
        <f t="shared" ca="1" si="41"/>
        <v>0</v>
      </c>
      <c r="AD30" s="21">
        <f t="shared" ca="1" si="41"/>
        <v>0</v>
      </c>
    </row>
    <row r="31" spans="1:30">
      <c r="D31" s="27"/>
      <c r="E31" s="29"/>
      <c r="F31" s="30"/>
      <c r="G31" s="28"/>
      <c r="H31" s="28"/>
      <c r="I31" s="28"/>
      <c r="J31" s="28"/>
      <c r="K31" s="28"/>
      <c r="L31" s="28"/>
      <c r="M31" s="28"/>
      <c r="N31" s="28"/>
      <c r="O31" s="28"/>
      <c r="P31" s="28"/>
      <c r="Q31" s="28"/>
      <c r="R31" s="45"/>
      <c r="S31" s="20"/>
      <c r="T31" s="20"/>
      <c r="U31" s="20"/>
      <c r="V31" s="20"/>
      <c r="W31" s="20"/>
      <c r="X31" s="20"/>
      <c r="Y31" s="20"/>
      <c r="Z31" s="20"/>
      <c r="AA31" s="20"/>
      <c r="AB31" s="20"/>
      <c r="AC31" s="20"/>
      <c r="AD31" s="20"/>
    </row>
    <row r="32" spans="1:30">
      <c r="A32" s="104" t="s">
        <v>61</v>
      </c>
      <c r="B32" s="105"/>
      <c r="D32" s="24"/>
      <c r="E32" s="11" t="s">
        <v>31</v>
      </c>
      <c r="F32" s="14">
        <v>0.6</v>
      </c>
      <c r="G32" s="15">
        <f ca="1">SUM(G33:G37)</f>
        <v>32</v>
      </c>
      <c r="H32" s="15">
        <f t="shared" ref="H32:R32" ca="1" si="42">SUM(H33:H37)</f>
        <v>53</v>
      </c>
      <c r="I32" s="15">
        <f t="shared" ca="1" si="42"/>
        <v>56</v>
      </c>
      <c r="J32" s="15">
        <f t="shared" ca="1" si="42"/>
        <v>68</v>
      </c>
      <c r="K32" s="15">
        <f t="shared" ca="1" si="42"/>
        <v>56</v>
      </c>
      <c r="L32" s="15">
        <f t="shared" ca="1" si="42"/>
        <v>30</v>
      </c>
      <c r="M32" s="15">
        <f t="shared" ca="1" si="42"/>
        <v>27</v>
      </c>
      <c r="N32" s="15">
        <f t="shared" ca="1" si="42"/>
        <v>47</v>
      </c>
      <c r="O32" s="15">
        <f t="shared" ca="1" si="42"/>
        <v>83</v>
      </c>
      <c r="P32" s="15">
        <f t="shared" ca="1" si="42"/>
        <v>56</v>
      </c>
      <c r="Q32" s="15">
        <f t="shared" ca="1" si="42"/>
        <v>173</v>
      </c>
      <c r="R32" s="15">
        <f t="shared" ca="1" si="42"/>
        <v>56</v>
      </c>
      <c r="S32" s="21">
        <f t="shared" ref="S32:AD32" ca="1" si="43">ROUND(S39/$B$17,0)</f>
        <v>59</v>
      </c>
      <c r="T32" s="21">
        <f t="shared" ca="1" si="43"/>
        <v>93</v>
      </c>
      <c r="U32" s="21">
        <f t="shared" ca="1" si="43"/>
        <v>98</v>
      </c>
      <c r="V32" s="21">
        <f t="shared" ca="1" si="43"/>
        <v>125</v>
      </c>
      <c r="W32" s="21">
        <f t="shared" ca="1" si="43"/>
        <v>107</v>
      </c>
      <c r="X32" s="21">
        <f t="shared" ca="1" si="43"/>
        <v>50</v>
      </c>
      <c r="Y32" s="21">
        <f t="shared" ca="1" si="43"/>
        <v>39</v>
      </c>
      <c r="Z32" s="21">
        <f t="shared" ca="1" si="43"/>
        <v>83</v>
      </c>
      <c r="AA32" s="21">
        <f t="shared" ca="1" si="43"/>
        <v>145</v>
      </c>
      <c r="AB32" s="21">
        <f t="shared" ca="1" si="43"/>
        <v>107</v>
      </c>
      <c r="AC32" s="21">
        <f t="shared" ca="1" si="43"/>
        <v>320</v>
      </c>
      <c r="AD32" s="21">
        <f t="shared" ca="1" si="43"/>
        <v>0</v>
      </c>
    </row>
    <row r="33" spans="1:30">
      <c r="A33" s="92" t="str">
        <f>E7</f>
        <v>New Names</v>
      </c>
      <c r="B33" s="96">
        <f ca="1">SUM(G7:R7)</f>
        <v>63303</v>
      </c>
      <c r="D33" s="24"/>
      <c r="E33" s="17" t="s">
        <v>1</v>
      </c>
      <c r="F33" s="66">
        <v>0.6</v>
      </c>
      <c r="G33" s="97">
        <f ca="1">ROUND(OFFSET(G47,0,$B$18)/$F47,0)</f>
        <v>6</v>
      </c>
      <c r="H33" s="97">
        <f t="shared" ref="H33:AD33" ca="1" si="44">ROUND(OFFSET(H47,0,$B$18)/$F47,0)</f>
        <v>11</v>
      </c>
      <c r="I33" s="97">
        <f t="shared" ca="1" si="44"/>
        <v>11</v>
      </c>
      <c r="J33" s="97">
        <f t="shared" ca="1" si="44"/>
        <v>14</v>
      </c>
      <c r="K33" s="97">
        <f t="shared" ca="1" si="44"/>
        <v>11</v>
      </c>
      <c r="L33" s="97">
        <f t="shared" ca="1" si="44"/>
        <v>6</v>
      </c>
      <c r="M33" s="97">
        <f t="shared" ca="1" si="44"/>
        <v>6</v>
      </c>
      <c r="N33" s="97">
        <f t="shared" ca="1" si="44"/>
        <v>9</v>
      </c>
      <c r="O33" s="97">
        <f t="shared" ca="1" si="44"/>
        <v>17</v>
      </c>
      <c r="P33" s="97">
        <f t="shared" ca="1" si="44"/>
        <v>11</v>
      </c>
      <c r="Q33" s="97">
        <f t="shared" ca="1" si="44"/>
        <v>34</v>
      </c>
      <c r="R33" s="97">
        <f t="shared" ca="1" si="44"/>
        <v>11</v>
      </c>
      <c r="S33" s="21">
        <f t="shared" ca="1" si="44"/>
        <v>11</v>
      </c>
      <c r="T33" s="21">
        <f t="shared" ca="1" si="44"/>
        <v>20</v>
      </c>
      <c r="U33" s="21">
        <f t="shared" ca="1" si="44"/>
        <v>20</v>
      </c>
      <c r="V33" s="21">
        <f t="shared" ca="1" si="44"/>
        <v>26</v>
      </c>
      <c r="W33" s="21">
        <f t="shared" ca="1" si="44"/>
        <v>23</v>
      </c>
      <c r="X33" s="21">
        <f t="shared" ca="1" si="44"/>
        <v>11</v>
      </c>
      <c r="Y33" s="21">
        <f t="shared" ca="1" si="44"/>
        <v>9</v>
      </c>
      <c r="Z33" s="21">
        <f t="shared" ca="1" si="44"/>
        <v>17</v>
      </c>
      <c r="AA33" s="21">
        <f t="shared" ca="1" si="44"/>
        <v>29</v>
      </c>
      <c r="AB33" s="21">
        <f t="shared" ca="1" si="44"/>
        <v>20</v>
      </c>
      <c r="AC33" s="21">
        <f t="shared" ca="1" si="44"/>
        <v>63</v>
      </c>
      <c r="AD33" s="21">
        <f t="shared" ca="1" si="44"/>
        <v>0</v>
      </c>
    </row>
    <row r="34" spans="1:30">
      <c r="A34" s="92" t="str">
        <f>E13</f>
        <v>Prospects</v>
      </c>
      <c r="B34" s="96">
        <f ca="1">SUM(G13:R13)</f>
        <v>21243</v>
      </c>
      <c r="D34" s="24"/>
      <c r="E34" s="17" t="s">
        <v>2</v>
      </c>
      <c r="F34" s="66">
        <v>0.6</v>
      </c>
      <c r="G34" s="97">
        <f t="shared" ref="G34:AD34" ca="1" si="45">ROUND(OFFSET(G48,0,$B$18)/$F48,0)</f>
        <v>11</v>
      </c>
      <c r="H34" s="97">
        <f t="shared" ca="1" si="45"/>
        <v>14</v>
      </c>
      <c r="I34" s="97">
        <f t="shared" ca="1" si="45"/>
        <v>17</v>
      </c>
      <c r="J34" s="97">
        <f t="shared" ca="1" si="45"/>
        <v>20</v>
      </c>
      <c r="K34" s="97">
        <f t="shared" ca="1" si="45"/>
        <v>17</v>
      </c>
      <c r="L34" s="97">
        <f t="shared" ca="1" si="45"/>
        <v>9</v>
      </c>
      <c r="M34" s="97">
        <f t="shared" ca="1" si="45"/>
        <v>6</v>
      </c>
      <c r="N34" s="97">
        <f t="shared" ca="1" si="45"/>
        <v>14</v>
      </c>
      <c r="O34" s="97">
        <f t="shared" ca="1" si="45"/>
        <v>23</v>
      </c>
      <c r="P34" s="97">
        <f t="shared" ca="1" si="45"/>
        <v>17</v>
      </c>
      <c r="Q34" s="97">
        <f t="shared" ca="1" si="45"/>
        <v>54</v>
      </c>
      <c r="R34" s="97">
        <f t="shared" ca="1" si="45"/>
        <v>17</v>
      </c>
      <c r="S34" s="21">
        <f t="shared" ca="1" si="45"/>
        <v>17</v>
      </c>
      <c r="T34" s="21">
        <f t="shared" ca="1" si="45"/>
        <v>29</v>
      </c>
      <c r="U34" s="21">
        <f t="shared" ca="1" si="45"/>
        <v>29</v>
      </c>
      <c r="V34" s="21">
        <f t="shared" ca="1" si="45"/>
        <v>37</v>
      </c>
      <c r="W34" s="21">
        <f t="shared" ca="1" si="45"/>
        <v>31</v>
      </c>
      <c r="X34" s="21">
        <f t="shared" ca="1" si="45"/>
        <v>14</v>
      </c>
      <c r="Y34" s="21">
        <f t="shared" ca="1" si="45"/>
        <v>11</v>
      </c>
      <c r="Z34" s="21">
        <f t="shared" ca="1" si="45"/>
        <v>26</v>
      </c>
      <c r="AA34" s="21">
        <f t="shared" ca="1" si="45"/>
        <v>43</v>
      </c>
      <c r="AB34" s="21">
        <f t="shared" ca="1" si="45"/>
        <v>31</v>
      </c>
      <c r="AC34" s="21">
        <f t="shared" ca="1" si="45"/>
        <v>97</v>
      </c>
      <c r="AD34" s="21">
        <f t="shared" ca="1" si="45"/>
        <v>0</v>
      </c>
    </row>
    <row r="35" spans="1:30">
      <c r="A35" s="92" t="str">
        <f>E19</f>
        <v>MQLs (Assigned to SDR)</v>
      </c>
      <c r="B35" s="96">
        <f ca="1">SUM(G19:R19)</f>
        <v>12858</v>
      </c>
      <c r="D35" s="24"/>
      <c r="E35" s="17" t="s">
        <v>3</v>
      </c>
      <c r="F35" s="66">
        <v>0.6</v>
      </c>
      <c r="G35" s="97">
        <f t="shared" ref="G35:AD35" ca="1" si="46">ROUND(OFFSET(G49,0,$B$18)/$F49,0)</f>
        <v>6</v>
      </c>
      <c r="H35" s="97">
        <f t="shared" ca="1" si="46"/>
        <v>11</v>
      </c>
      <c r="I35" s="97">
        <f t="shared" ca="1" si="46"/>
        <v>11</v>
      </c>
      <c r="J35" s="97">
        <f t="shared" ca="1" si="46"/>
        <v>14</v>
      </c>
      <c r="K35" s="97">
        <f t="shared" ca="1" si="46"/>
        <v>11</v>
      </c>
      <c r="L35" s="97">
        <f t="shared" ca="1" si="46"/>
        <v>6</v>
      </c>
      <c r="M35" s="97">
        <f t="shared" ca="1" si="46"/>
        <v>6</v>
      </c>
      <c r="N35" s="97">
        <f t="shared" ca="1" si="46"/>
        <v>9</v>
      </c>
      <c r="O35" s="97">
        <f t="shared" ca="1" si="46"/>
        <v>17</v>
      </c>
      <c r="P35" s="97">
        <f t="shared" ca="1" si="46"/>
        <v>11</v>
      </c>
      <c r="Q35" s="97">
        <f t="shared" ca="1" si="46"/>
        <v>34</v>
      </c>
      <c r="R35" s="97">
        <f t="shared" ca="1" si="46"/>
        <v>11</v>
      </c>
      <c r="S35" s="21">
        <f t="shared" ca="1" si="46"/>
        <v>11</v>
      </c>
      <c r="T35" s="21">
        <f t="shared" ca="1" si="46"/>
        <v>20</v>
      </c>
      <c r="U35" s="21">
        <f t="shared" ca="1" si="46"/>
        <v>20</v>
      </c>
      <c r="V35" s="21">
        <f t="shared" ca="1" si="46"/>
        <v>26</v>
      </c>
      <c r="W35" s="21">
        <f t="shared" ca="1" si="46"/>
        <v>23</v>
      </c>
      <c r="X35" s="21">
        <f t="shared" ca="1" si="46"/>
        <v>11</v>
      </c>
      <c r="Y35" s="21">
        <f t="shared" ca="1" si="46"/>
        <v>9</v>
      </c>
      <c r="Z35" s="21">
        <f t="shared" ca="1" si="46"/>
        <v>17</v>
      </c>
      <c r="AA35" s="21">
        <f t="shared" ca="1" si="46"/>
        <v>29</v>
      </c>
      <c r="AB35" s="21">
        <f t="shared" ca="1" si="46"/>
        <v>20</v>
      </c>
      <c r="AC35" s="21">
        <f t="shared" ca="1" si="46"/>
        <v>63</v>
      </c>
      <c r="AD35" s="21">
        <f t="shared" ca="1" si="46"/>
        <v>0</v>
      </c>
    </row>
    <row r="36" spans="1:30">
      <c r="A36" s="93" t="str">
        <f>E25</f>
        <v>SQLs (SDR Qual'd)</v>
      </c>
      <c r="B36" s="94">
        <f ca="1">SUM(G25:R25)</f>
        <v>1407</v>
      </c>
      <c r="D36" s="24"/>
      <c r="E36" s="17" t="s">
        <v>4</v>
      </c>
      <c r="F36" s="66">
        <v>0.6</v>
      </c>
      <c r="G36" s="97">
        <f t="shared" ref="G36:AD36" ca="1" si="47">ROUND(OFFSET(G50,0,$B$18)/$F50,0)</f>
        <v>3</v>
      </c>
      <c r="H36" s="97">
        <f t="shared" ca="1" si="47"/>
        <v>6</v>
      </c>
      <c r="I36" s="97">
        <f t="shared" ca="1" si="47"/>
        <v>6</v>
      </c>
      <c r="J36" s="97">
        <f t="shared" ca="1" si="47"/>
        <v>6</v>
      </c>
      <c r="K36" s="97">
        <f t="shared" ca="1" si="47"/>
        <v>6</v>
      </c>
      <c r="L36" s="97">
        <f t="shared" ca="1" si="47"/>
        <v>3</v>
      </c>
      <c r="M36" s="97">
        <f t="shared" ca="1" si="47"/>
        <v>3</v>
      </c>
      <c r="N36" s="97">
        <f t="shared" ca="1" si="47"/>
        <v>6</v>
      </c>
      <c r="O36" s="97">
        <f t="shared" ca="1" si="47"/>
        <v>9</v>
      </c>
      <c r="P36" s="97">
        <f t="shared" ca="1" si="47"/>
        <v>6</v>
      </c>
      <c r="Q36" s="97">
        <f t="shared" ca="1" si="47"/>
        <v>17</v>
      </c>
      <c r="R36" s="97">
        <f t="shared" ca="1" si="47"/>
        <v>6</v>
      </c>
      <c r="S36" s="21">
        <f t="shared" ca="1" si="47"/>
        <v>6</v>
      </c>
      <c r="T36" s="21">
        <f t="shared" ca="1" si="47"/>
        <v>9</v>
      </c>
      <c r="U36" s="21">
        <f t="shared" ca="1" si="47"/>
        <v>9</v>
      </c>
      <c r="V36" s="21">
        <f t="shared" ca="1" si="47"/>
        <v>11</v>
      </c>
      <c r="W36" s="21">
        <f t="shared" ca="1" si="47"/>
        <v>11</v>
      </c>
      <c r="X36" s="21">
        <f t="shared" ca="1" si="47"/>
        <v>6</v>
      </c>
      <c r="Y36" s="21">
        <f t="shared" ca="1" si="47"/>
        <v>3</v>
      </c>
      <c r="Z36" s="21">
        <f t="shared" ca="1" si="47"/>
        <v>9</v>
      </c>
      <c r="AA36" s="21">
        <f t="shared" ca="1" si="47"/>
        <v>14</v>
      </c>
      <c r="AB36" s="21">
        <f t="shared" ca="1" si="47"/>
        <v>11</v>
      </c>
      <c r="AC36" s="21">
        <f t="shared" ca="1" si="47"/>
        <v>31</v>
      </c>
      <c r="AD36" s="21">
        <f t="shared" ca="1" si="47"/>
        <v>0</v>
      </c>
    </row>
    <row r="37" spans="1:30">
      <c r="A37" s="93" t="str">
        <f>E32</f>
        <v>SALs (Opp #)</v>
      </c>
      <c r="B37" s="94">
        <f ca="1">SUM(G32:R32)</f>
        <v>737</v>
      </c>
      <c r="D37" s="24"/>
      <c r="E37" s="17" t="s">
        <v>5</v>
      </c>
      <c r="F37" s="66">
        <v>0.6</v>
      </c>
      <c r="G37" s="97">
        <f t="shared" ref="G37:AD37" ca="1" si="48">ROUND(OFFSET(G51,0,$B$18)/$F51,0)</f>
        <v>6</v>
      </c>
      <c r="H37" s="97">
        <f t="shared" ca="1" si="48"/>
        <v>11</v>
      </c>
      <c r="I37" s="97">
        <f t="shared" ca="1" si="48"/>
        <v>11</v>
      </c>
      <c r="J37" s="97">
        <f t="shared" ca="1" si="48"/>
        <v>14</v>
      </c>
      <c r="K37" s="97">
        <f t="shared" ca="1" si="48"/>
        <v>11</v>
      </c>
      <c r="L37" s="97">
        <f t="shared" ca="1" si="48"/>
        <v>6</v>
      </c>
      <c r="M37" s="97">
        <f t="shared" ca="1" si="48"/>
        <v>6</v>
      </c>
      <c r="N37" s="97">
        <f t="shared" ca="1" si="48"/>
        <v>9</v>
      </c>
      <c r="O37" s="97">
        <f t="shared" ca="1" si="48"/>
        <v>17</v>
      </c>
      <c r="P37" s="97">
        <f t="shared" ca="1" si="48"/>
        <v>11</v>
      </c>
      <c r="Q37" s="97">
        <f t="shared" ca="1" si="48"/>
        <v>34</v>
      </c>
      <c r="R37" s="97">
        <f t="shared" ca="1" si="48"/>
        <v>11</v>
      </c>
      <c r="S37" s="21">
        <f t="shared" ca="1" si="48"/>
        <v>11</v>
      </c>
      <c r="T37" s="21">
        <f t="shared" ca="1" si="48"/>
        <v>20</v>
      </c>
      <c r="U37" s="21">
        <f t="shared" ca="1" si="48"/>
        <v>20</v>
      </c>
      <c r="V37" s="21">
        <f t="shared" ca="1" si="48"/>
        <v>26</v>
      </c>
      <c r="W37" s="21">
        <f t="shared" ca="1" si="48"/>
        <v>23</v>
      </c>
      <c r="X37" s="21">
        <f t="shared" ca="1" si="48"/>
        <v>11</v>
      </c>
      <c r="Y37" s="21">
        <f t="shared" ca="1" si="48"/>
        <v>9</v>
      </c>
      <c r="Z37" s="21">
        <f t="shared" ca="1" si="48"/>
        <v>17</v>
      </c>
      <c r="AA37" s="21">
        <f t="shared" ca="1" si="48"/>
        <v>29</v>
      </c>
      <c r="AB37" s="21">
        <f t="shared" ca="1" si="48"/>
        <v>20</v>
      </c>
      <c r="AC37" s="21">
        <f t="shared" ca="1" si="48"/>
        <v>63</v>
      </c>
      <c r="AD37" s="21">
        <f t="shared" ca="1" si="48"/>
        <v>0</v>
      </c>
    </row>
    <row r="38" spans="1:30">
      <c r="A38" s="93" t="str">
        <f>E39</f>
        <v>SALs (Pipeline $)</v>
      </c>
      <c r="B38" s="95">
        <f ca="1">SUM(G39:R39)</f>
        <v>14797000</v>
      </c>
      <c r="D38" s="24"/>
      <c r="E38" s="29"/>
      <c r="F38" s="30"/>
      <c r="G38" s="28"/>
      <c r="H38" s="28"/>
      <c r="I38" s="28"/>
      <c r="J38" s="28"/>
      <c r="K38" s="28"/>
      <c r="L38" s="28"/>
      <c r="M38" s="28"/>
      <c r="N38" s="28"/>
      <c r="O38" s="28"/>
      <c r="P38" s="28"/>
      <c r="Q38" s="28"/>
      <c r="R38" s="45"/>
      <c r="S38" s="20"/>
      <c r="T38" s="20"/>
      <c r="U38" s="20"/>
      <c r="V38" s="20"/>
      <c r="W38" s="20"/>
      <c r="X38" s="20"/>
      <c r="Y38" s="20"/>
      <c r="Z38" s="20"/>
      <c r="AA38" s="20"/>
      <c r="AB38" s="20"/>
      <c r="AC38" s="20"/>
      <c r="AD38" s="20"/>
    </row>
    <row r="39" spans="1:30">
      <c r="A39" s="93" t="str">
        <f>E46</f>
        <v>Closed Won - # of Deals</v>
      </c>
      <c r="B39" s="94">
        <f>SUM(G46:R46)</f>
        <v>250</v>
      </c>
      <c r="D39" s="24"/>
      <c r="E39" s="11" t="s">
        <v>32</v>
      </c>
      <c r="F39" s="14"/>
      <c r="G39" s="13">
        <f ca="1">SUM(G40:G44)</f>
        <v>656000</v>
      </c>
      <c r="H39" s="13">
        <f t="shared" ref="H39:AD39" ca="1" si="49">SUM(H40:H44)</f>
        <v>1032000</v>
      </c>
      <c r="I39" s="13">
        <f t="shared" ca="1" si="49"/>
        <v>1086000</v>
      </c>
      <c r="J39" s="13">
        <f t="shared" ca="1" si="49"/>
        <v>1397000</v>
      </c>
      <c r="K39" s="13">
        <f t="shared" ca="1" si="49"/>
        <v>1200000</v>
      </c>
      <c r="L39" s="13">
        <f t="shared" ca="1" si="49"/>
        <v>559000</v>
      </c>
      <c r="M39" s="13">
        <f t="shared" ca="1" si="49"/>
        <v>441000</v>
      </c>
      <c r="N39" s="13">
        <f t="shared" ca="1" si="49"/>
        <v>926000</v>
      </c>
      <c r="O39" s="13">
        <f t="shared" ca="1" si="49"/>
        <v>1618000</v>
      </c>
      <c r="P39" s="13">
        <f t="shared" ca="1" si="49"/>
        <v>1188000</v>
      </c>
      <c r="Q39" s="13">
        <f t="shared" ca="1" si="49"/>
        <v>3568000</v>
      </c>
      <c r="R39" s="13">
        <f t="shared" ca="1" si="49"/>
        <v>1126000</v>
      </c>
      <c r="S39" s="23">
        <f t="shared" ca="1" si="49"/>
        <v>1182000</v>
      </c>
      <c r="T39" s="23">
        <f t="shared" ca="1" si="49"/>
        <v>1856000</v>
      </c>
      <c r="U39" s="23">
        <f t="shared" ca="1" si="49"/>
        <v>1953000</v>
      </c>
      <c r="V39" s="23">
        <f t="shared" ca="1" si="49"/>
        <v>2502000</v>
      </c>
      <c r="W39" s="23">
        <f t="shared" ca="1" si="49"/>
        <v>2147000</v>
      </c>
      <c r="X39" s="23">
        <f t="shared" ca="1" si="49"/>
        <v>1000000</v>
      </c>
      <c r="Y39" s="23">
        <f t="shared" ca="1" si="49"/>
        <v>788000</v>
      </c>
      <c r="Z39" s="23">
        <f t="shared" ca="1" si="49"/>
        <v>1656000</v>
      </c>
      <c r="AA39" s="23">
        <f t="shared" ca="1" si="49"/>
        <v>2902000</v>
      </c>
      <c r="AB39" s="23">
        <f t="shared" ca="1" si="49"/>
        <v>2132000</v>
      </c>
      <c r="AC39" s="23">
        <f t="shared" ca="1" si="49"/>
        <v>6400000</v>
      </c>
      <c r="AD39" s="23">
        <f t="shared" ca="1" si="49"/>
        <v>0</v>
      </c>
    </row>
    <row r="40" spans="1:30">
      <c r="A40" s="101" t="str">
        <f>E53</f>
        <v>Closed Won - $</v>
      </c>
      <c r="B40" s="102">
        <f>ROUND(SUM(G53:R53),A86)</f>
        <v>5001000</v>
      </c>
      <c r="D40" s="24"/>
      <c r="E40" s="17" t="s">
        <v>1</v>
      </c>
      <c r="F40" s="30"/>
      <c r="G40" s="10">
        <f ca="1">ROUND(OFFSET(G54,0,$B$18)/$F47,$A$86)</f>
        <v>131000</v>
      </c>
      <c r="H40" s="10">
        <f ca="1">ROUND(OFFSET(H54,0,$B$18)/$F47,$A$86)</f>
        <v>206000</v>
      </c>
      <c r="I40" s="10">
        <f ca="1">ROUND(OFFSET(I54,0,$B$18)/$F47,$A$86)</f>
        <v>217000</v>
      </c>
      <c r="J40" s="10">
        <f ca="1">ROUND(OFFSET(J54,0,$B$18)/$F47,$A$86)</f>
        <v>280000</v>
      </c>
      <c r="K40" s="10">
        <f ca="1">ROUND(OFFSET(K54,0,$B$18)/$F47,$A$86)</f>
        <v>240000</v>
      </c>
      <c r="L40" s="10">
        <f ca="1">ROUND(OFFSET(L54,0,$B$18)/$F47,$A$86)</f>
        <v>111000</v>
      </c>
      <c r="M40" s="10">
        <f ca="1">ROUND(OFFSET(M54,0,$B$18)/$F47,$A$86)</f>
        <v>89000</v>
      </c>
      <c r="N40" s="10">
        <f ca="1">ROUND(OFFSET(N54,0,$B$18)/$F47,$A$86)</f>
        <v>186000</v>
      </c>
      <c r="O40" s="10">
        <f ca="1">ROUND(OFFSET(O54,0,$B$18)/$F47,$A$86)</f>
        <v>323000</v>
      </c>
      <c r="P40" s="10">
        <f ca="1">ROUND(OFFSET(P54,0,$B$18)/$F47,$A$86)</f>
        <v>237000</v>
      </c>
      <c r="Q40" s="10">
        <f ca="1">ROUND(OFFSET(Q54,0,$B$18)/$F47,$A$86)</f>
        <v>714000</v>
      </c>
      <c r="R40" s="10">
        <f ca="1">ROUND(OFFSET(R54,0,$B$18)/$F47,$A$86)</f>
        <v>226000</v>
      </c>
      <c r="S40" s="22">
        <f ca="1">ROUND(OFFSET(S54,0,$B$18)/$F47,$A$86)</f>
        <v>237000</v>
      </c>
      <c r="T40" s="22">
        <f ca="1">ROUND(OFFSET(T54,0,$B$18)/$F47,$A$86)</f>
        <v>371000</v>
      </c>
      <c r="U40" s="22">
        <f ca="1">ROUND(OFFSET(U54,0,$B$18)/$F47,$A$86)</f>
        <v>391000</v>
      </c>
      <c r="V40" s="22">
        <f ca="1">ROUND(OFFSET(V54,0,$B$18)/$F47,$A$86)</f>
        <v>500000</v>
      </c>
      <c r="W40" s="22">
        <f ca="1">ROUND(OFFSET(W54,0,$B$18)/$F47,$A$86)</f>
        <v>429000</v>
      </c>
      <c r="X40" s="22">
        <f ca="1">ROUND(OFFSET(X54,0,$B$18)/$F47,$A$86)</f>
        <v>200000</v>
      </c>
      <c r="Y40" s="22">
        <f ca="1">ROUND(OFFSET(Y54,0,$B$18)/$F47,$A$86)</f>
        <v>157000</v>
      </c>
      <c r="Z40" s="22">
        <f ca="1">ROUND(OFFSET(Z54,0,$B$18)/$F47,$A$86)</f>
        <v>331000</v>
      </c>
      <c r="AA40" s="22">
        <f ca="1">ROUND(OFFSET(AA54,0,$B$18)/$F47,$A$86)</f>
        <v>580000</v>
      </c>
      <c r="AB40" s="22">
        <f ca="1">ROUND(OFFSET(AB54,0,$B$18)/$F47,$A$86)</f>
        <v>426000</v>
      </c>
      <c r="AC40" s="22">
        <f ca="1">ROUND(OFFSET(AC54,0,$B$18)/$F47,$A$86)</f>
        <v>1280000</v>
      </c>
      <c r="AD40" s="22">
        <f ca="1">ROUND(OFFSET(AD54,0,$B$18)/$F47,$A$86)</f>
        <v>0</v>
      </c>
    </row>
    <row r="41" spans="1:30">
      <c r="A41" s="42"/>
      <c r="B41" s="42"/>
      <c r="D41" s="24"/>
      <c r="E41" s="17" t="s">
        <v>2</v>
      </c>
      <c r="F41" s="30"/>
      <c r="G41" s="10">
        <f ca="1">ROUND(OFFSET(G55,0,$B$18)/$F48,$A$86)</f>
        <v>197000</v>
      </c>
      <c r="H41" s="10">
        <f ca="1">ROUND(OFFSET(H55,0,$B$18)/$F48,$A$86)</f>
        <v>311000</v>
      </c>
      <c r="I41" s="10">
        <f ca="1">ROUND(OFFSET(I55,0,$B$18)/$F48,$A$86)</f>
        <v>326000</v>
      </c>
      <c r="J41" s="10">
        <f ca="1">ROUND(OFFSET(J55,0,$B$18)/$F48,$A$86)</f>
        <v>417000</v>
      </c>
      <c r="K41" s="10">
        <f ca="1">ROUND(OFFSET(K55,0,$B$18)/$F48,$A$86)</f>
        <v>360000</v>
      </c>
      <c r="L41" s="10">
        <f ca="1">ROUND(OFFSET(L55,0,$B$18)/$F48,$A$86)</f>
        <v>169000</v>
      </c>
      <c r="M41" s="10">
        <f ca="1">ROUND(OFFSET(M55,0,$B$18)/$F48,$A$86)</f>
        <v>131000</v>
      </c>
      <c r="N41" s="10">
        <f ca="1">ROUND(OFFSET(N55,0,$B$18)/$F48,$A$86)</f>
        <v>277000</v>
      </c>
      <c r="O41" s="10">
        <f ca="1">ROUND(OFFSET(O55,0,$B$18)/$F48,$A$86)</f>
        <v>486000</v>
      </c>
      <c r="P41" s="10">
        <f ca="1">ROUND(OFFSET(P55,0,$B$18)/$F48,$A$86)</f>
        <v>357000</v>
      </c>
      <c r="Q41" s="10">
        <f ca="1">ROUND(OFFSET(Q55,0,$B$18)/$F48,$A$86)</f>
        <v>1069000</v>
      </c>
      <c r="R41" s="10">
        <f ca="1">ROUND(OFFSET(R55,0,$B$18)/$F48,$A$86)</f>
        <v>337000</v>
      </c>
      <c r="S41" s="22">
        <f ca="1">ROUND(OFFSET(S55,0,$B$18)/$F48,$A$86)</f>
        <v>354000</v>
      </c>
      <c r="T41" s="22">
        <f ca="1">ROUND(OFFSET(T55,0,$B$18)/$F48,$A$86)</f>
        <v>557000</v>
      </c>
      <c r="U41" s="22">
        <f ca="1">ROUND(OFFSET(U55,0,$B$18)/$F48,$A$86)</f>
        <v>586000</v>
      </c>
      <c r="V41" s="22">
        <f ca="1">ROUND(OFFSET(V55,0,$B$18)/$F48,$A$86)</f>
        <v>751000</v>
      </c>
      <c r="W41" s="22">
        <f ca="1">ROUND(OFFSET(W55,0,$B$18)/$F48,$A$86)</f>
        <v>646000</v>
      </c>
      <c r="X41" s="22">
        <f ca="1">ROUND(OFFSET(X55,0,$B$18)/$F48,$A$86)</f>
        <v>300000</v>
      </c>
      <c r="Y41" s="22">
        <f ca="1">ROUND(OFFSET(Y55,0,$B$18)/$F48,$A$86)</f>
        <v>237000</v>
      </c>
      <c r="Z41" s="22">
        <f ca="1">ROUND(OFFSET(Z55,0,$B$18)/$F48,$A$86)</f>
        <v>497000</v>
      </c>
      <c r="AA41" s="22">
        <f ca="1">ROUND(OFFSET(AA55,0,$B$18)/$F48,$A$86)</f>
        <v>871000</v>
      </c>
      <c r="AB41" s="22">
        <f ca="1">ROUND(OFFSET(AB55,0,$B$18)/$F48,$A$86)</f>
        <v>640000</v>
      </c>
      <c r="AC41" s="22">
        <f ca="1">ROUND(OFFSET(AC55,0,$B$18)/$F48,$A$86)</f>
        <v>1920000</v>
      </c>
      <c r="AD41" s="22">
        <f ca="1">ROUND(OFFSET(AD55,0,$B$18)/$F48,$A$86)</f>
        <v>0</v>
      </c>
    </row>
    <row r="42" spans="1:30">
      <c r="D42" s="24"/>
      <c r="E42" s="17" t="s">
        <v>3</v>
      </c>
      <c r="F42" s="30"/>
      <c r="G42" s="10">
        <f ca="1">ROUND(OFFSET(G56,0,$B$18)/$F49,$A$86)</f>
        <v>131000</v>
      </c>
      <c r="H42" s="10">
        <f ca="1">ROUND(OFFSET(H56,0,$B$18)/$F49,$A$86)</f>
        <v>206000</v>
      </c>
      <c r="I42" s="10">
        <f ca="1">ROUND(OFFSET(I56,0,$B$18)/$F49,$A$86)</f>
        <v>217000</v>
      </c>
      <c r="J42" s="10">
        <f ca="1">ROUND(OFFSET(J56,0,$B$18)/$F49,$A$86)</f>
        <v>280000</v>
      </c>
      <c r="K42" s="10">
        <f ca="1">ROUND(OFFSET(K56,0,$B$18)/$F49,$A$86)</f>
        <v>240000</v>
      </c>
      <c r="L42" s="10">
        <f ca="1">ROUND(OFFSET(L56,0,$B$18)/$F49,$A$86)</f>
        <v>111000</v>
      </c>
      <c r="M42" s="10">
        <f ca="1">ROUND(OFFSET(M56,0,$B$18)/$F49,$A$86)</f>
        <v>89000</v>
      </c>
      <c r="N42" s="10">
        <f ca="1">ROUND(OFFSET(N56,0,$B$18)/$F49,$A$86)</f>
        <v>186000</v>
      </c>
      <c r="O42" s="10">
        <f ca="1">ROUND(OFFSET(O56,0,$B$18)/$F49,$A$86)</f>
        <v>323000</v>
      </c>
      <c r="P42" s="10">
        <f ca="1">ROUND(OFFSET(P56,0,$B$18)/$F49,$A$86)</f>
        <v>237000</v>
      </c>
      <c r="Q42" s="10">
        <f ca="1">ROUND(OFFSET(Q56,0,$B$18)/$F49,$A$86)</f>
        <v>714000</v>
      </c>
      <c r="R42" s="10">
        <f ca="1">ROUND(OFFSET(R56,0,$B$18)/$F49,$A$86)</f>
        <v>226000</v>
      </c>
      <c r="S42" s="22">
        <f ca="1">ROUND(OFFSET(S56,0,$B$18)/$F49,$A$86)</f>
        <v>237000</v>
      </c>
      <c r="T42" s="22">
        <f ca="1">ROUND(OFFSET(T56,0,$B$18)/$F49,$A$86)</f>
        <v>371000</v>
      </c>
      <c r="U42" s="22">
        <f ca="1">ROUND(OFFSET(U56,0,$B$18)/$F49,$A$86)</f>
        <v>391000</v>
      </c>
      <c r="V42" s="22">
        <f ca="1">ROUND(OFFSET(V56,0,$B$18)/$F49,$A$86)</f>
        <v>500000</v>
      </c>
      <c r="W42" s="22">
        <f ca="1">ROUND(OFFSET(W56,0,$B$18)/$F49,$A$86)</f>
        <v>429000</v>
      </c>
      <c r="X42" s="22">
        <f ca="1">ROUND(OFFSET(X56,0,$B$18)/$F49,$A$86)</f>
        <v>200000</v>
      </c>
      <c r="Y42" s="22">
        <f ca="1">ROUND(OFFSET(Y56,0,$B$18)/$F49,$A$86)</f>
        <v>157000</v>
      </c>
      <c r="Z42" s="22">
        <f ca="1">ROUND(OFFSET(Z56,0,$B$18)/$F49,$A$86)</f>
        <v>331000</v>
      </c>
      <c r="AA42" s="22">
        <f ca="1">ROUND(OFFSET(AA56,0,$B$18)/$F49,$A$86)</f>
        <v>580000</v>
      </c>
      <c r="AB42" s="22">
        <f ca="1">ROUND(OFFSET(AB56,0,$B$18)/$F49,$A$86)</f>
        <v>426000</v>
      </c>
      <c r="AC42" s="22">
        <f ca="1">ROUND(OFFSET(AC56,0,$B$18)/$F49,$A$86)</f>
        <v>1280000</v>
      </c>
      <c r="AD42" s="22">
        <f ca="1">ROUND(OFFSET(AD56,0,$B$18)/$F49,$A$86)</f>
        <v>0</v>
      </c>
    </row>
    <row r="43" spans="1:30">
      <c r="D43" s="24"/>
      <c r="E43" s="17" t="s">
        <v>4</v>
      </c>
      <c r="F43" s="30"/>
      <c r="G43" s="10">
        <f ca="1">ROUND(OFFSET(G57,0,$B$18)/$F50,$A$86)</f>
        <v>66000</v>
      </c>
      <c r="H43" s="10">
        <f ca="1">ROUND(OFFSET(H57,0,$B$18)/$F50,$A$86)</f>
        <v>103000</v>
      </c>
      <c r="I43" s="10">
        <f ca="1">ROUND(OFFSET(I57,0,$B$18)/$F50,$A$86)</f>
        <v>109000</v>
      </c>
      <c r="J43" s="10">
        <f ca="1">ROUND(OFFSET(J57,0,$B$18)/$F50,$A$86)</f>
        <v>140000</v>
      </c>
      <c r="K43" s="10">
        <f ca="1">ROUND(OFFSET(K57,0,$B$18)/$F50,$A$86)</f>
        <v>120000</v>
      </c>
      <c r="L43" s="10">
        <f ca="1">ROUND(OFFSET(L57,0,$B$18)/$F50,$A$86)</f>
        <v>57000</v>
      </c>
      <c r="M43" s="10">
        <f ca="1">ROUND(OFFSET(M57,0,$B$18)/$F50,$A$86)</f>
        <v>43000</v>
      </c>
      <c r="N43" s="10">
        <f ca="1">ROUND(OFFSET(N57,0,$B$18)/$F50,$A$86)</f>
        <v>91000</v>
      </c>
      <c r="O43" s="10">
        <f ca="1">ROUND(OFFSET(O57,0,$B$18)/$F50,$A$86)</f>
        <v>163000</v>
      </c>
      <c r="P43" s="10">
        <f ca="1">ROUND(OFFSET(P57,0,$B$18)/$F50,$A$86)</f>
        <v>120000</v>
      </c>
      <c r="Q43" s="10">
        <f ca="1">ROUND(OFFSET(Q57,0,$B$18)/$F50,$A$86)</f>
        <v>357000</v>
      </c>
      <c r="R43" s="10">
        <f ca="1">ROUND(OFFSET(R57,0,$B$18)/$F50,$A$86)</f>
        <v>111000</v>
      </c>
      <c r="S43" s="22">
        <f ca="1">ROUND(OFFSET(S57,0,$B$18)/$F50,$A$86)</f>
        <v>117000</v>
      </c>
      <c r="T43" s="22">
        <f ca="1">ROUND(OFFSET(T57,0,$B$18)/$F50,$A$86)</f>
        <v>186000</v>
      </c>
      <c r="U43" s="22">
        <f ca="1">ROUND(OFFSET(U57,0,$B$18)/$F50,$A$86)</f>
        <v>194000</v>
      </c>
      <c r="V43" s="22">
        <f ca="1">ROUND(OFFSET(V57,0,$B$18)/$F50,$A$86)</f>
        <v>251000</v>
      </c>
      <c r="W43" s="22">
        <f ca="1">ROUND(OFFSET(W57,0,$B$18)/$F50,$A$86)</f>
        <v>214000</v>
      </c>
      <c r="X43" s="22">
        <f ca="1">ROUND(OFFSET(X57,0,$B$18)/$F50,$A$86)</f>
        <v>100000</v>
      </c>
      <c r="Y43" s="22">
        <f ca="1">ROUND(OFFSET(Y57,0,$B$18)/$F50,$A$86)</f>
        <v>80000</v>
      </c>
      <c r="Z43" s="22">
        <f ca="1">ROUND(OFFSET(Z57,0,$B$18)/$F50,$A$86)</f>
        <v>166000</v>
      </c>
      <c r="AA43" s="22">
        <f ca="1">ROUND(OFFSET(AA57,0,$B$18)/$F50,$A$86)</f>
        <v>291000</v>
      </c>
      <c r="AB43" s="22">
        <f ca="1">ROUND(OFFSET(AB57,0,$B$18)/$F50,$A$86)</f>
        <v>214000</v>
      </c>
      <c r="AC43" s="22">
        <f ca="1">ROUND(OFFSET(AC57,0,$B$18)/$F50,$A$86)</f>
        <v>640000</v>
      </c>
      <c r="AD43" s="22">
        <f ca="1">ROUND(OFFSET(AD57,0,$B$18)/$F50,$A$86)</f>
        <v>0</v>
      </c>
    </row>
    <row r="44" spans="1:30">
      <c r="D44" s="24"/>
      <c r="E44" s="17" t="s">
        <v>5</v>
      </c>
      <c r="F44" s="30"/>
      <c r="G44" s="10">
        <f ca="1">ROUND(OFFSET(G58,0,$B$18)/$F51,$A$86)</f>
        <v>131000</v>
      </c>
      <c r="H44" s="10">
        <f ca="1">ROUND(OFFSET(H58,0,$B$18)/$F51,$A$86)</f>
        <v>206000</v>
      </c>
      <c r="I44" s="10">
        <f ca="1">ROUND(OFFSET(I58,0,$B$18)/$F51,$A$86)</f>
        <v>217000</v>
      </c>
      <c r="J44" s="10">
        <f ca="1">ROUND(OFFSET(J58,0,$B$18)/$F51,$A$86)</f>
        <v>280000</v>
      </c>
      <c r="K44" s="10">
        <f ca="1">ROUND(OFFSET(K58,0,$B$18)/$F51,$A$86)</f>
        <v>240000</v>
      </c>
      <c r="L44" s="10">
        <f ca="1">ROUND(OFFSET(L58,0,$B$18)/$F51,$A$86)</f>
        <v>111000</v>
      </c>
      <c r="M44" s="10">
        <f ca="1">ROUND(OFFSET(M58,0,$B$18)/$F51,$A$86)</f>
        <v>89000</v>
      </c>
      <c r="N44" s="10">
        <f ca="1">ROUND(OFFSET(N58,0,$B$18)/$F51,$A$86)</f>
        <v>186000</v>
      </c>
      <c r="O44" s="10">
        <f ca="1">ROUND(OFFSET(O58,0,$B$18)/$F51,$A$86)</f>
        <v>323000</v>
      </c>
      <c r="P44" s="10">
        <f ca="1">ROUND(OFFSET(P58,0,$B$18)/$F51,$A$86)</f>
        <v>237000</v>
      </c>
      <c r="Q44" s="10">
        <f ca="1">ROUND(OFFSET(Q58,0,$B$18)/$F51,$A$86)</f>
        <v>714000</v>
      </c>
      <c r="R44" s="10">
        <f ca="1">ROUND(OFFSET(R58,0,$B$18)/$F51,$A$86)</f>
        <v>226000</v>
      </c>
      <c r="S44" s="22">
        <f ca="1">ROUND(OFFSET(S58,0,$B$18)/$F51,$A$86)</f>
        <v>237000</v>
      </c>
      <c r="T44" s="22">
        <f ca="1">ROUND(OFFSET(T58,0,$B$18)/$F51,$A$86)</f>
        <v>371000</v>
      </c>
      <c r="U44" s="22">
        <f ca="1">ROUND(OFFSET(U58,0,$B$18)/$F51,$A$86)</f>
        <v>391000</v>
      </c>
      <c r="V44" s="22">
        <f ca="1">ROUND(OFFSET(V58,0,$B$18)/$F51,$A$86)</f>
        <v>500000</v>
      </c>
      <c r="W44" s="22">
        <f ca="1">ROUND(OFFSET(W58,0,$B$18)/$F51,$A$86)</f>
        <v>429000</v>
      </c>
      <c r="X44" s="22">
        <f ca="1">ROUND(OFFSET(X58,0,$B$18)/$F51,$A$86)</f>
        <v>200000</v>
      </c>
      <c r="Y44" s="22">
        <f ca="1">ROUND(OFFSET(Y58,0,$B$18)/$F51,$A$86)</f>
        <v>157000</v>
      </c>
      <c r="Z44" s="22">
        <f ca="1">ROUND(OFFSET(Z58,0,$B$18)/$F51,$A$86)</f>
        <v>331000</v>
      </c>
      <c r="AA44" s="22">
        <f ca="1">ROUND(OFFSET(AA58,0,$B$18)/$F51,$A$86)</f>
        <v>580000</v>
      </c>
      <c r="AB44" s="22">
        <f ca="1">ROUND(OFFSET(AB58,0,$B$18)/$F51,$A$86)</f>
        <v>426000</v>
      </c>
      <c r="AC44" s="22">
        <f ca="1">ROUND(OFFSET(AC58,0,$B$18)/$F51,$A$86)</f>
        <v>1280000</v>
      </c>
      <c r="AD44" s="22">
        <f ca="1">ROUND(OFFSET(AD58,0,$B$18)/$F51,$A$86)</f>
        <v>0</v>
      </c>
    </row>
    <row r="45" spans="1:30">
      <c r="D45" s="27"/>
      <c r="E45" s="29"/>
      <c r="F45" s="30"/>
      <c r="G45" s="28"/>
      <c r="H45" s="28"/>
      <c r="I45" s="28"/>
      <c r="J45" s="28"/>
      <c r="K45" s="28"/>
      <c r="L45" s="28"/>
      <c r="M45" s="28"/>
      <c r="N45" s="28"/>
      <c r="O45" s="28"/>
      <c r="P45" s="28"/>
      <c r="Q45" s="28"/>
      <c r="R45" s="45"/>
      <c r="S45" s="20"/>
      <c r="T45" s="20"/>
      <c r="U45" s="20"/>
      <c r="V45" s="20"/>
      <c r="W45" s="20"/>
      <c r="X45" s="20"/>
      <c r="Y45" s="20"/>
      <c r="Z45" s="20"/>
      <c r="AA45" s="20"/>
      <c r="AB45" s="20"/>
      <c r="AC45" s="20"/>
      <c r="AD45" s="20"/>
    </row>
    <row r="46" spans="1:30">
      <c r="D46" s="24"/>
      <c r="E46" s="11" t="s">
        <v>12</v>
      </c>
      <c r="F46" s="91">
        <f ca="1">OFFSET(G46,0,$B$18)/G32</f>
        <v>0.375</v>
      </c>
      <c r="G46" s="15">
        <f>ROUND(G53/$B$17,0)</f>
        <v>11</v>
      </c>
      <c r="H46" s="15">
        <f t="shared" ref="H46:AD46" si="50">ROUND(H53/$B$17,0)</f>
        <v>12</v>
      </c>
      <c r="I46" s="15">
        <f t="shared" si="50"/>
        <v>18</v>
      </c>
      <c r="J46" s="15">
        <f t="shared" si="50"/>
        <v>19</v>
      </c>
      <c r="K46" s="15">
        <f t="shared" si="50"/>
        <v>24</v>
      </c>
      <c r="L46" s="15">
        <f t="shared" si="50"/>
        <v>21</v>
      </c>
      <c r="M46" s="15">
        <f t="shared" si="50"/>
        <v>10</v>
      </c>
      <c r="N46" s="15">
        <f t="shared" si="50"/>
        <v>8</v>
      </c>
      <c r="O46" s="15">
        <f t="shared" si="50"/>
        <v>16</v>
      </c>
      <c r="P46" s="15">
        <f t="shared" si="50"/>
        <v>28</v>
      </c>
      <c r="Q46" s="15">
        <f t="shared" si="50"/>
        <v>21</v>
      </c>
      <c r="R46" s="68">
        <f t="shared" si="50"/>
        <v>62</v>
      </c>
      <c r="S46" s="21">
        <f t="shared" si="50"/>
        <v>20</v>
      </c>
      <c r="T46" s="21">
        <f t="shared" si="50"/>
        <v>21</v>
      </c>
      <c r="U46" s="21">
        <f t="shared" si="50"/>
        <v>33</v>
      </c>
      <c r="V46" s="21">
        <f t="shared" si="50"/>
        <v>34</v>
      </c>
      <c r="W46" s="21">
        <f t="shared" si="50"/>
        <v>44</v>
      </c>
      <c r="X46" s="21">
        <f t="shared" si="50"/>
        <v>38</v>
      </c>
      <c r="Y46" s="21">
        <f t="shared" si="50"/>
        <v>18</v>
      </c>
      <c r="Z46" s="21">
        <f t="shared" si="50"/>
        <v>14</v>
      </c>
      <c r="AA46" s="21">
        <f t="shared" si="50"/>
        <v>29</v>
      </c>
      <c r="AB46" s="21">
        <f t="shared" si="50"/>
        <v>51</v>
      </c>
      <c r="AC46" s="21">
        <f t="shared" si="50"/>
        <v>37</v>
      </c>
      <c r="AD46" s="21">
        <f t="shared" si="50"/>
        <v>112</v>
      </c>
    </row>
    <row r="47" spans="1:30">
      <c r="D47" s="24"/>
      <c r="E47" s="17" t="s">
        <v>1</v>
      </c>
      <c r="F47" s="66">
        <v>0.35</v>
      </c>
      <c r="G47" s="97">
        <f t="shared" ref="G47:AD47" si="51">ROUND((G$46*$B10),0)</f>
        <v>2</v>
      </c>
      <c r="H47" s="97">
        <f t="shared" si="51"/>
        <v>2</v>
      </c>
      <c r="I47" s="97">
        <f t="shared" si="51"/>
        <v>4</v>
      </c>
      <c r="J47" s="97">
        <f t="shared" si="51"/>
        <v>4</v>
      </c>
      <c r="K47" s="97">
        <f t="shared" si="51"/>
        <v>5</v>
      </c>
      <c r="L47" s="97">
        <f t="shared" si="51"/>
        <v>4</v>
      </c>
      <c r="M47" s="97">
        <f t="shared" si="51"/>
        <v>2</v>
      </c>
      <c r="N47" s="97">
        <f t="shared" si="51"/>
        <v>2</v>
      </c>
      <c r="O47" s="97">
        <f t="shared" si="51"/>
        <v>3</v>
      </c>
      <c r="P47" s="97">
        <f t="shared" si="51"/>
        <v>6</v>
      </c>
      <c r="Q47" s="97">
        <f t="shared" si="51"/>
        <v>4</v>
      </c>
      <c r="R47" s="98">
        <f t="shared" si="51"/>
        <v>12</v>
      </c>
      <c r="S47" s="21">
        <f t="shared" si="51"/>
        <v>4</v>
      </c>
      <c r="T47" s="21">
        <f t="shared" si="51"/>
        <v>4</v>
      </c>
      <c r="U47" s="21">
        <f t="shared" si="51"/>
        <v>7</v>
      </c>
      <c r="V47" s="21">
        <f t="shared" si="51"/>
        <v>7</v>
      </c>
      <c r="W47" s="21">
        <f t="shared" si="51"/>
        <v>9</v>
      </c>
      <c r="X47" s="21">
        <f t="shared" si="51"/>
        <v>8</v>
      </c>
      <c r="Y47" s="21">
        <f t="shared" si="51"/>
        <v>4</v>
      </c>
      <c r="Z47" s="21">
        <f t="shared" si="51"/>
        <v>3</v>
      </c>
      <c r="AA47" s="21">
        <f t="shared" si="51"/>
        <v>6</v>
      </c>
      <c r="AB47" s="21">
        <f t="shared" si="51"/>
        <v>10</v>
      </c>
      <c r="AC47" s="21">
        <f t="shared" si="51"/>
        <v>7</v>
      </c>
      <c r="AD47" s="21">
        <f t="shared" si="51"/>
        <v>22</v>
      </c>
    </row>
    <row r="48" spans="1:30">
      <c r="D48" s="24"/>
      <c r="E48" s="17" t="s">
        <v>2</v>
      </c>
      <c r="F48" s="66">
        <v>0.35</v>
      </c>
      <c r="G48" s="97">
        <f t="shared" ref="G48:AD48" si="52">ROUND((G$46*$B11),0)</f>
        <v>3</v>
      </c>
      <c r="H48" s="97">
        <f t="shared" si="52"/>
        <v>4</v>
      </c>
      <c r="I48" s="97">
        <f t="shared" si="52"/>
        <v>5</v>
      </c>
      <c r="J48" s="97">
        <f t="shared" si="52"/>
        <v>6</v>
      </c>
      <c r="K48" s="97">
        <f t="shared" si="52"/>
        <v>7</v>
      </c>
      <c r="L48" s="97">
        <f t="shared" si="52"/>
        <v>6</v>
      </c>
      <c r="M48" s="97">
        <f t="shared" si="52"/>
        <v>3</v>
      </c>
      <c r="N48" s="97">
        <f t="shared" si="52"/>
        <v>2</v>
      </c>
      <c r="O48" s="97">
        <f t="shared" si="52"/>
        <v>5</v>
      </c>
      <c r="P48" s="97">
        <f t="shared" si="52"/>
        <v>8</v>
      </c>
      <c r="Q48" s="97">
        <f t="shared" si="52"/>
        <v>6</v>
      </c>
      <c r="R48" s="98">
        <f t="shared" si="52"/>
        <v>19</v>
      </c>
      <c r="S48" s="21">
        <f t="shared" si="52"/>
        <v>6</v>
      </c>
      <c r="T48" s="21">
        <f t="shared" si="52"/>
        <v>6</v>
      </c>
      <c r="U48" s="21">
        <f t="shared" si="52"/>
        <v>10</v>
      </c>
      <c r="V48" s="21">
        <f t="shared" si="52"/>
        <v>10</v>
      </c>
      <c r="W48" s="21">
        <f t="shared" si="52"/>
        <v>13</v>
      </c>
      <c r="X48" s="21">
        <f t="shared" si="52"/>
        <v>11</v>
      </c>
      <c r="Y48" s="21">
        <f t="shared" si="52"/>
        <v>5</v>
      </c>
      <c r="Z48" s="21">
        <f t="shared" si="52"/>
        <v>4</v>
      </c>
      <c r="AA48" s="21">
        <f t="shared" si="52"/>
        <v>9</v>
      </c>
      <c r="AB48" s="21">
        <f t="shared" si="52"/>
        <v>15</v>
      </c>
      <c r="AC48" s="21">
        <f t="shared" si="52"/>
        <v>11</v>
      </c>
      <c r="AD48" s="21">
        <f t="shared" si="52"/>
        <v>34</v>
      </c>
    </row>
    <row r="49" spans="1:30">
      <c r="D49" s="24"/>
      <c r="E49" s="17" t="s">
        <v>3</v>
      </c>
      <c r="F49" s="66">
        <v>0.35</v>
      </c>
      <c r="G49" s="97">
        <f t="shared" ref="G49:AD49" si="53">ROUND((G$46*$B12),0)</f>
        <v>2</v>
      </c>
      <c r="H49" s="97">
        <f t="shared" si="53"/>
        <v>2</v>
      </c>
      <c r="I49" s="97">
        <f t="shared" si="53"/>
        <v>4</v>
      </c>
      <c r="J49" s="97">
        <f t="shared" si="53"/>
        <v>4</v>
      </c>
      <c r="K49" s="97">
        <f t="shared" si="53"/>
        <v>5</v>
      </c>
      <c r="L49" s="97">
        <f t="shared" si="53"/>
        <v>4</v>
      </c>
      <c r="M49" s="97">
        <f t="shared" si="53"/>
        <v>2</v>
      </c>
      <c r="N49" s="97">
        <f t="shared" si="53"/>
        <v>2</v>
      </c>
      <c r="O49" s="97">
        <f t="shared" si="53"/>
        <v>3</v>
      </c>
      <c r="P49" s="97">
        <f t="shared" si="53"/>
        <v>6</v>
      </c>
      <c r="Q49" s="97">
        <f t="shared" si="53"/>
        <v>4</v>
      </c>
      <c r="R49" s="98">
        <f t="shared" si="53"/>
        <v>12</v>
      </c>
      <c r="S49" s="21">
        <f t="shared" si="53"/>
        <v>4</v>
      </c>
      <c r="T49" s="21">
        <f t="shared" si="53"/>
        <v>4</v>
      </c>
      <c r="U49" s="21">
        <f t="shared" si="53"/>
        <v>7</v>
      </c>
      <c r="V49" s="21">
        <f t="shared" si="53"/>
        <v>7</v>
      </c>
      <c r="W49" s="21">
        <f t="shared" si="53"/>
        <v>9</v>
      </c>
      <c r="X49" s="21">
        <f t="shared" si="53"/>
        <v>8</v>
      </c>
      <c r="Y49" s="21">
        <f t="shared" si="53"/>
        <v>4</v>
      </c>
      <c r="Z49" s="21">
        <f t="shared" si="53"/>
        <v>3</v>
      </c>
      <c r="AA49" s="21">
        <f t="shared" si="53"/>
        <v>6</v>
      </c>
      <c r="AB49" s="21">
        <f t="shared" si="53"/>
        <v>10</v>
      </c>
      <c r="AC49" s="21">
        <f t="shared" si="53"/>
        <v>7</v>
      </c>
      <c r="AD49" s="21">
        <f t="shared" si="53"/>
        <v>22</v>
      </c>
    </row>
    <row r="50" spans="1:30">
      <c r="D50" s="24"/>
      <c r="E50" s="17" t="s">
        <v>4</v>
      </c>
      <c r="F50" s="66">
        <v>0.35</v>
      </c>
      <c r="G50" s="97">
        <f t="shared" ref="G50:AD50" si="54">ROUND((G$46*$B13),0)</f>
        <v>1</v>
      </c>
      <c r="H50" s="97">
        <f t="shared" si="54"/>
        <v>1</v>
      </c>
      <c r="I50" s="97">
        <f t="shared" si="54"/>
        <v>2</v>
      </c>
      <c r="J50" s="97">
        <f t="shared" si="54"/>
        <v>2</v>
      </c>
      <c r="K50" s="97">
        <f t="shared" si="54"/>
        <v>2</v>
      </c>
      <c r="L50" s="97">
        <f t="shared" si="54"/>
        <v>2</v>
      </c>
      <c r="M50" s="97">
        <f t="shared" si="54"/>
        <v>1</v>
      </c>
      <c r="N50" s="97">
        <f t="shared" si="54"/>
        <v>1</v>
      </c>
      <c r="O50" s="97">
        <f t="shared" si="54"/>
        <v>2</v>
      </c>
      <c r="P50" s="97">
        <f t="shared" si="54"/>
        <v>3</v>
      </c>
      <c r="Q50" s="97">
        <f t="shared" si="54"/>
        <v>2</v>
      </c>
      <c r="R50" s="98">
        <f t="shared" si="54"/>
        <v>6</v>
      </c>
      <c r="S50" s="21">
        <f t="shared" si="54"/>
        <v>2</v>
      </c>
      <c r="T50" s="21">
        <f t="shared" si="54"/>
        <v>2</v>
      </c>
      <c r="U50" s="21">
        <f t="shared" si="54"/>
        <v>3</v>
      </c>
      <c r="V50" s="21">
        <f t="shared" si="54"/>
        <v>3</v>
      </c>
      <c r="W50" s="21">
        <f t="shared" si="54"/>
        <v>4</v>
      </c>
      <c r="X50" s="21">
        <f t="shared" si="54"/>
        <v>4</v>
      </c>
      <c r="Y50" s="21">
        <f t="shared" si="54"/>
        <v>2</v>
      </c>
      <c r="Z50" s="21">
        <f t="shared" si="54"/>
        <v>1</v>
      </c>
      <c r="AA50" s="21">
        <f t="shared" si="54"/>
        <v>3</v>
      </c>
      <c r="AB50" s="21">
        <f t="shared" si="54"/>
        <v>5</v>
      </c>
      <c r="AC50" s="21">
        <f t="shared" si="54"/>
        <v>4</v>
      </c>
      <c r="AD50" s="21">
        <f t="shared" si="54"/>
        <v>11</v>
      </c>
    </row>
    <row r="51" spans="1:30">
      <c r="D51" s="24"/>
      <c r="E51" s="17" t="s">
        <v>5</v>
      </c>
      <c r="F51" s="66">
        <v>0.35</v>
      </c>
      <c r="G51" s="97">
        <f t="shared" ref="G51:AD51" si="55">ROUND((G$46*$B14),0)</f>
        <v>2</v>
      </c>
      <c r="H51" s="97">
        <f t="shared" si="55"/>
        <v>2</v>
      </c>
      <c r="I51" s="97">
        <f t="shared" si="55"/>
        <v>4</v>
      </c>
      <c r="J51" s="97">
        <f t="shared" si="55"/>
        <v>4</v>
      </c>
      <c r="K51" s="97">
        <f t="shared" si="55"/>
        <v>5</v>
      </c>
      <c r="L51" s="97">
        <f t="shared" si="55"/>
        <v>4</v>
      </c>
      <c r="M51" s="97">
        <f t="shared" si="55"/>
        <v>2</v>
      </c>
      <c r="N51" s="97">
        <f t="shared" si="55"/>
        <v>2</v>
      </c>
      <c r="O51" s="97">
        <f t="shared" si="55"/>
        <v>3</v>
      </c>
      <c r="P51" s="97">
        <f t="shared" si="55"/>
        <v>6</v>
      </c>
      <c r="Q51" s="97">
        <f t="shared" si="55"/>
        <v>4</v>
      </c>
      <c r="R51" s="98">
        <f t="shared" si="55"/>
        <v>12</v>
      </c>
      <c r="S51" s="21">
        <f t="shared" si="55"/>
        <v>4</v>
      </c>
      <c r="T51" s="21">
        <f t="shared" si="55"/>
        <v>4</v>
      </c>
      <c r="U51" s="21">
        <f t="shared" si="55"/>
        <v>7</v>
      </c>
      <c r="V51" s="21">
        <f t="shared" si="55"/>
        <v>7</v>
      </c>
      <c r="W51" s="21">
        <f t="shared" si="55"/>
        <v>9</v>
      </c>
      <c r="X51" s="21">
        <f t="shared" si="55"/>
        <v>8</v>
      </c>
      <c r="Y51" s="21">
        <f t="shared" si="55"/>
        <v>4</v>
      </c>
      <c r="Z51" s="21">
        <f t="shared" si="55"/>
        <v>3</v>
      </c>
      <c r="AA51" s="21">
        <f t="shared" si="55"/>
        <v>6</v>
      </c>
      <c r="AB51" s="21">
        <f t="shared" si="55"/>
        <v>10</v>
      </c>
      <c r="AC51" s="21">
        <f t="shared" si="55"/>
        <v>7</v>
      </c>
      <c r="AD51" s="21">
        <f t="shared" si="55"/>
        <v>22</v>
      </c>
    </row>
    <row r="52" spans="1:30">
      <c r="D52" s="24"/>
      <c r="E52" s="29"/>
      <c r="F52" s="29"/>
      <c r="G52" s="29"/>
      <c r="H52" s="29"/>
      <c r="I52" s="29"/>
      <c r="J52" s="29"/>
      <c r="K52" s="29"/>
      <c r="L52" s="29"/>
      <c r="M52" s="29"/>
      <c r="N52" s="29"/>
      <c r="O52" s="29"/>
      <c r="P52" s="29"/>
      <c r="Q52" s="29"/>
      <c r="R52" s="29"/>
      <c r="S52" s="20"/>
      <c r="T52" s="20"/>
      <c r="U52" s="20"/>
      <c r="V52" s="20"/>
      <c r="W52" s="20"/>
      <c r="X52" s="20"/>
      <c r="Y52" s="20"/>
      <c r="Z52" s="20"/>
      <c r="AA52" s="20"/>
      <c r="AB52" s="20"/>
      <c r="AC52" s="20"/>
      <c r="AD52" s="20"/>
    </row>
    <row r="53" spans="1:30">
      <c r="D53" s="24"/>
      <c r="E53" s="11" t="s">
        <v>11</v>
      </c>
      <c r="F53" s="14"/>
      <c r="G53" s="13">
        <f>ROUND(G66*($B$3/SUM($G$66:$R$66)),$A$86)</f>
        <v>219000</v>
      </c>
      <c r="H53" s="13">
        <f>ROUND(H66*($B$3/SUM($G$66:$R$66)),$A$86)</f>
        <v>230000</v>
      </c>
      <c r="I53" s="13">
        <f>ROUND(I66*($B$3/SUM($G$66:$R$66)),$A$86)</f>
        <v>362000</v>
      </c>
      <c r="J53" s="13">
        <f>ROUND(J66*($B$3/SUM($G$66:$R$66)),$A$86)</f>
        <v>380000</v>
      </c>
      <c r="K53" s="13">
        <f>ROUND(K66*($B$3/SUM($G$66:$R$66)),$A$86)</f>
        <v>488000</v>
      </c>
      <c r="L53" s="13">
        <f>ROUND(L66*($B$3/SUM($G$66:$R$66)),$A$86)</f>
        <v>419000</v>
      </c>
      <c r="M53" s="13">
        <f>ROUND(M66*($B$3/SUM($G$66:$R$66)),$A$86)</f>
        <v>196000</v>
      </c>
      <c r="N53" s="13">
        <f>ROUND(N66*($B$3/SUM($G$66:$R$66)),$A$86)</f>
        <v>154000</v>
      </c>
      <c r="O53" s="13">
        <f>ROUND(O66*($B$3/SUM($G$66:$R$66)),$A$86)</f>
        <v>323000</v>
      </c>
      <c r="P53" s="13">
        <f>ROUND(P66*($B$3/SUM($G$66:$R$66)),$A$86)</f>
        <v>566000</v>
      </c>
      <c r="Q53" s="13">
        <f>ROUND(Q66*($B$3/SUM($G$66:$R$66)),$A$86)</f>
        <v>416000</v>
      </c>
      <c r="R53" s="13">
        <f>ROUND(R66*($B$3/SUM($G$66:$R$66)),$A$86)</f>
        <v>1248000</v>
      </c>
      <c r="S53" s="23">
        <f>ROUND(S66*($B$3/SUM($G$66:$R$66)),$A$86)</f>
        <v>393000</v>
      </c>
      <c r="T53" s="23">
        <f>ROUND(T66*($B$3/SUM($G$66:$R$66)),$A$86)</f>
        <v>413000</v>
      </c>
      <c r="U53" s="23">
        <f>ROUND(U66*($B$3/SUM($G$66:$R$66)),$A$86)</f>
        <v>650000</v>
      </c>
      <c r="V53" s="23">
        <f>ROUND(V66*($B$3/SUM($G$66:$R$66)),$A$86)</f>
        <v>683000</v>
      </c>
      <c r="W53" s="23">
        <f>ROUND(W66*($B$3/SUM($G$66:$R$66)),$A$86)</f>
        <v>876000</v>
      </c>
      <c r="X53" s="23">
        <f>ROUND(X66*($B$3/SUM($G$66:$R$66)),$A$86)</f>
        <v>752000</v>
      </c>
      <c r="Y53" s="23">
        <f>ROUND(Y66*($B$3/SUM($G$66:$R$66)),$A$86)</f>
        <v>351000</v>
      </c>
      <c r="Z53" s="23">
        <f>ROUND(Z66*($B$3/SUM($G$66:$R$66)),$A$86)</f>
        <v>277000</v>
      </c>
      <c r="AA53" s="23">
        <f>ROUND(AA66*($B$3/SUM($G$66:$R$66)),$A$86)</f>
        <v>581000</v>
      </c>
      <c r="AB53" s="23">
        <f>ROUND(AB66*($B$3/SUM($G$66:$R$66)),$A$86)</f>
        <v>1016000</v>
      </c>
      <c r="AC53" s="23">
        <f>ROUND(AC66*($B$3/SUM($G$66:$R$66)),$A$86)</f>
        <v>747000</v>
      </c>
      <c r="AD53" s="23">
        <f>ROUND(AD66*($B$3/SUM($G$66:$R$66)),$A$86)</f>
        <v>2241000</v>
      </c>
    </row>
    <row r="54" spans="1:30">
      <c r="D54" s="24"/>
      <c r="E54" s="17" t="s">
        <v>1</v>
      </c>
      <c r="F54" s="30"/>
      <c r="G54" s="10">
        <f>ROUND((G$53*$B10),$A$86)</f>
        <v>44000</v>
      </c>
      <c r="H54" s="10">
        <f>ROUND((H$53*$B10),$A$86)</f>
        <v>46000</v>
      </c>
      <c r="I54" s="10">
        <f>ROUND((I$53*$B10),$A$86)</f>
        <v>72000</v>
      </c>
      <c r="J54" s="10">
        <f>ROUND((J$53*$B10),$A$86)</f>
        <v>76000</v>
      </c>
      <c r="K54" s="10">
        <f>ROUND((K$53*$B10),$A$86)</f>
        <v>98000</v>
      </c>
      <c r="L54" s="10">
        <f>ROUND((L$53*$B10),$A$86)</f>
        <v>84000</v>
      </c>
      <c r="M54" s="10">
        <f>ROUND((M$53*$B10),$A$86)</f>
        <v>39000</v>
      </c>
      <c r="N54" s="10">
        <f>ROUND((N$53*$B10),$A$86)</f>
        <v>31000</v>
      </c>
      <c r="O54" s="10">
        <f>ROUND((O$53*$B10),$A$86)</f>
        <v>65000</v>
      </c>
      <c r="P54" s="10">
        <f>ROUND((P$53*$B10),$A$86)</f>
        <v>113000</v>
      </c>
      <c r="Q54" s="10">
        <f>ROUND((Q$53*$B10),$A$86)</f>
        <v>83000</v>
      </c>
      <c r="R54" s="10">
        <f>ROUND((R$53*$B10),$A$86)</f>
        <v>250000</v>
      </c>
      <c r="S54" s="22">
        <f>ROUND((S$53*$B10),$A$86)</f>
        <v>79000</v>
      </c>
      <c r="T54" s="22">
        <f>ROUND((T$53*$B10),$A$86)</f>
        <v>83000</v>
      </c>
      <c r="U54" s="22">
        <f>ROUND((U$53*$B10),$A$86)</f>
        <v>130000</v>
      </c>
      <c r="V54" s="22">
        <f>ROUND((V$53*$B10),$A$86)</f>
        <v>137000</v>
      </c>
      <c r="W54" s="22">
        <f>ROUND((W$53*$B10),$A$86)</f>
        <v>175000</v>
      </c>
      <c r="X54" s="22">
        <f>ROUND((X$53*$B10),$A$86)</f>
        <v>150000</v>
      </c>
      <c r="Y54" s="22">
        <f>ROUND((Y$53*$B10),$A$86)</f>
        <v>70000</v>
      </c>
      <c r="Z54" s="22">
        <f>ROUND((Z$53*$B10),$A$86)</f>
        <v>55000</v>
      </c>
      <c r="AA54" s="22">
        <f>ROUND((AA$53*$B10),$A$86)</f>
        <v>116000</v>
      </c>
      <c r="AB54" s="22">
        <f>ROUND((AB$53*$B10),$A$86)</f>
        <v>203000</v>
      </c>
      <c r="AC54" s="22">
        <f>ROUND((AC$53*$B10),$A$86)</f>
        <v>149000</v>
      </c>
      <c r="AD54" s="22">
        <f>ROUND((AD$53*$B10),$A$86)</f>
        <v>448000</v>
      </c>
    </row>
    <row r="55" spans="1:30">
      <c r="D55" s="24"/>
      <c r="E55" s="17" t="s">
        <v>2</v>
      </c>
      <c r="F55" s="30"/>
      <c r="G55" s="10">
        <f>ROUND((G$53*$B11),$A$86)</f>
        <v>66000</v>
      </c>
      <c r="H55" s="10">
        <f>ROUND((H$53*$B11),$A$86)</f>
        <v>69000</v>
      </c>
      <c r="I55" s="10">
        <f>ROUND((I$53*$B11),$A$86)</f>
        <v>109000</v>
      </c>
      <c r="J55" s="10">
        <f>ROUND((J$53*$B11),$A$86)</f>
        <v>114000</v>
      </c>
      <c r="K55" s="10">
        <f>ROUND((K$53*$B11),$A$86)</f>
        <v>146000</v>
      </c>
      <c r="L55" s="10">
        <f>ROUND((L$53*$B11),$A$86)</f>
        <v>126000</v>
      </c>
      <c r="M55" s="10">
        <f>ROUND((M$53*$B11),$A$86)</f>
        <v>59000</v>
      </c>
      <c r="N55" s="10">
        <f>ROUND((N$53*$B11),$A$86)</f>
        <v>46000</v>
      </c>
      <c r="O55" s="10">
        <f>ROUND((O$53*$B11),$A$86)</f>
        <v>97000</v>
      </c>
      <c r="P55" s="10">
        <f>ROUND((P$53*$B11),$A$86)</f>
        <v>170000</v>
      </c>
      <c r="Q55" s="10">
        <f>ROUND((Q$53*$B11),$A$86)</f>
        <v>125000</v>
      </c>
      <c r="R55" s="10">
        <f>ROUND((R$53*$B11),$A$86)</f>
        <v>374000</v>
      </c>
      <c r="S55" s="22">
        <f>ROUND((S$53*$B11),$A$86)</f>
        <v>118000</v>
      </c>
      <c r="T55" s="22">
        <f>ROUND((T$53*$B11),$A$86)</f>
        <v>124000</v>
      </c>
      <c r="U55" s="22">
        <f>ROUND((U$53*$B11),$A$86)</f>
        <v>195000</v>
      </c>
      <c r="V55" s="22">
        <f>ROUND((V$53*$B11),$A$86)</f>
        <v>205000</v>
      </c>
      <c r="W55" s="22">
        <f>ROUND((W$53*$B11),$A$86)</f>
        <v>263000</v>
      </c>
      <c r="X55" s="22">
        <f>ROUND((X$53*$B11),$A$86)</f>
        <v>226000</v>
      </c>
      <c r="Y55" s="22">
        <f>ROUND((Y$53*$B11),$A$86)</f>
        <v>105000</v>
      </c>
      <c r="Z55" s="22">
        <f>ROUND((Z$53*$B11),$A$86)</f>
        <v>83000</v>
      </c>
      <c r="AA55" s="22">
        <f>ROUND((AA$53*$B11),$A$86)</f>
        <v>174000</v>
      </c>
      <c r="AB55" s="22">
        <f>ROUND((AB$53*$B11),$A$86)</f>
        <v>305000</v>
      </c>
      <c r="AC55" s="22">
        <f>ROUND((AC$53*$B11),$A$86)</f>
        <v>224000</v>
      </c>
      <c r="AD55" s="22">
        <f>ROUND((AD$53*$B11),$A$86)</f>
        <v>672000</v>
      </c>
    </row>
    <row r="56" spans="1:30">
      <c r="D56" s="24"/>
      <c r="E56" s="17" t="s">
        <v>3</v>
      </c>
      <c r="F56" s="30"/>
      <c r="G56" s="10">
        <f>ROUND((G$53*$B12),$A$86)</f>
        <v>44000</v>
      </c>
      <c r="H56" s="10">
        <f>ROUND((H$53*$B12),$A$86)</f>
        <v>46000</v>
      </c>
      <c r="I56" s="10">
        <f>ROUND((I$53*$B12),$A$86)</f>
        <v>72000</v>
      </c>
      <c r="J56" s="10">
        <f>ROUND((J$53*$B12),$A$86)</f>
        <v>76000</v>
      </c>
      <c r="K56" s="10">
        <f>ROUND((K$53*$B12),$A$86)</f>
        <v>98000</v>
      </c>
      <c r="L56" s="10">
        <f>ROUND((L$53*$B12),$A$86)</f>
        <v>84000</v>
      </c>
      <c r="M56" s="10">
        <f>ROUND((M$53*$B12),$A$86)</f>
        <v>39000</v>
      </c>
      <c r="N56" s="10">
        <f>ROUND((N$53*$B12),$A$86)</f>
        <v>31000</v>
      </c>
      <c r="O56" s="10">
        <f>ROUND((O$53*$B12),$A$86)</f>
        <v>65000</v>
      </c>
      <c r="P56" s="10">
        <f>ROUND((P$53*$B12),$A$86)</f>
        <v>113000</v>
      </c>
      <c r="Q56" s="10">
        <f>ROUND((Q$53*$B12),$A$86)</f>
        <v>83000</v>
      </c>
      <c r="R56" s="10">
        <f>ROUND((R$53*$B12),$A$86)</f>
        <v>250000</v>
      </c>
      <c r="S56" s="22">
        <f>ROUND((S$53*$B12),$A$86)</f>
        <v>79000</v>
      </c>
      <c r="T56" s="22">
        <f>ROUND((T$53*$B12),$A$86)</f>
        <v>83000</v>
      </c>
      <c r="U56" s="22">
        <f>ROUND((U$53*$B12),$A$86)</f>
        <v>130000</v>
      </c>
      <c r="V56" s="22">
        <f>ROUND((V$53*$B12),$A$86)</f>
        <v>137000</v>
      </c>
      <c r="W56" s="22">
        <f>ROUND((W$53*$B12),$A$86)</f>
        <v>175000</v>
      </c>
      <c r="X56" s="22">
        <f>ROUND((X$53*$B12),$A$86)</f>
        <v>150000</v>
      </c>
      <c r="Y56" s="22">
        <f>ROUND((Y$53*$B12),$A$86)</f>
        <v>70000</v>
      </c>
      <c r="Z56" s="22">
        <f>ROUND((Z$53*$B12),$A$86)</f>
        <v>55000</v>
      </c>
      <c r="AA56" s="22">
        <f>ROUND((AA$53*$B12),$A$86)</f>
        <v>116000</v>
      </c>
      <c r="AB56" s="22">
        <f>ROUND((AB$53*$B12),$A$86)</f>
        <v>203000</v>
      </c>
      <c r="AC56" s="22">
        <f>ROUND((AC$53*$B12),$A$86)</f>
        <v>149000</v>
      </c>
      <c r="AD56" s="22">
        <f>ROUND((AD$53*$B12),$A$86)</f>
        <v>448000</v>
      </c>
    </row>
    <row r="57" spans="1:30">
      <c r="D57" s="24"/>
      <c r="E57" s="17" t="s">
        <v>4</v>
      </c>
      <c r="F57" s="30"/>
      <c r="G57" s="10">
        <f>ROUND((G$53*$B13),$A$86)</f>
        <v>22000</v>
      </c>
      <c r="H57" s="10">
        <f>ROUND((H$53*$B13),$A$86)</f>
        <v>23000</v>
      </c>
      <c r="I57" s="10">
        <f>ROUND((I$53*$B13),$A$86)</f>
        <v>36000</v>
      </c>
      <c r="J57" s="10">
        <f>ROUND((J$53*$B13),$A$86)</f>
        <v>38000</v>
      </c>
      <c r="K57" s="10">
        <f>ROUND((K$53*$B13),$A$86)</f>
        <v>49000</v>
      </c>
      <c r="L57" s="10">
        <f>ROUND((L$53*$B13),$A$86)</f>
        <v>42000</v>
      </c>
      <c r="M57" s="10">
        <f>ROUND((M$53*$B13),$A$86)</f>
        <v>20000</v>
      </c>
      <c r="N57" s="10">
        <f>ROUND((N$53*$B13),$A$86)</f>
        <v>15000</v>
      </c>
      <c r="O57" s="10">
        <f>ROUND((O$53*$B13),$A$86)</f>
        <v>32000</v>
      </c>
      <c r="P57" s="10">
        <f>ROUND((P$53*$B13),$A$86)</f>
        <v>57000</v>
      </c>
      <c r="Q57" s="10">
        <f>ROUND((Q$53*$B13),$A$86)</f>
        <v>42000</v>
      </c>
      <c r="R57" s="10">
        <f>ROUND((R$53*$B13),$A$86)</f>
        <v>125000</v>
      </c>
      <c r="S57" s="22">
        <f>ROUND((S$53*$B13),$A$86)</f>
        <v>39000</v>
      </c>
      <c r="T57" s="22">
        <f>ROUND((T$53*$B13),$A$86)</f>
        <v>41000</v>
      </c>
      <c r="U57" s="22">
        <f>ROUND((U$53*$B13),$A$86)</f>
        <v>65000</v>
      </c>
      <c r="V57" s="22">
        <f>ROUND((V$53*$B13),$A$86)</f>
        <v>68000</v>
      </c>
      <c r="W57" s="22">
        <f>ROUND((W$53*$B13),$A$86)</f>
        <v>88000</v>
      </c>
      <c r="X57" s="22">
        <f>ROUND((X$53*$B13),$A$86)</f>
        <v>75000</v>
      </c>
      <c r="Y57" s="22">
        <f>ROUND((Y$53*$B13),$A$86)</f>
        <v>35000</v>
      </c>
      <c r="Z57" s="22">
        <f>ROUND((Z$53*$B13),$A$86)</f>
        <v>28000</v>
      </c>
      <c r="AA57" s="22">
        <f>ROUND((AA$53*$B13),$A$86)</f>
        <v>58000</v>
      </c>
      <c r="AB57" s="22">
        <f>ROUND((AB$53*$B13),$A$86)</f>
        <v>102000</v>
      </c>
      <c r="AC57" s="22">
        <f>ROUND((AC$53*$B13),$A$86)</f>
        <v>75000</v>
      </c>
      <c r="AD57" s="22">
        <f>ROUND((AD$53*$B13),$A$86)</f>
        <v>224000</v>
      </c>
    </row>
    <row r="58" spans="1:30">
      <c r="D58" s="24"/>
      <c r="E58" s="17" t="s">
        <v>5</v>
      </c>
      <c r="F58" s="30"/>
      <c r="G58" s="10">
        <f>ROUND((G$53*$B14),$A$86)</f>
        <v>44000</v>
      </c>
      <c r="H58" s="10">
        <f>ROUND((H$53*$B14),$A$86)</f>
        <v>46000</v>
      </c>
      <c r="I58" s="10">
        <f>ROUND((I$53*$B14),$A$86)</f>
        <v>72000</v>
      </c>
      <c r="J58" s="10">
        <f>ROUND((J$53*$B14),$A$86)</f>
        <v>76000</v>
      </c>
      <c r="K58" s="10">
        <f>ROUND((K$53*$B14),$A$86)</f>
        <v>98000</v>
      </c>
      <c r="L58" s="10">
        <f>ROUND((L$53*$B14),$A$86)</f>
        <v>84000</v>
      </c>
      <c r="M58" s="10">
        <f>ROUND((M$53*$B14),$A$86)</f>
        <v>39000</v>
      </c>
      <c r="N58" s="10">
        <f>ROUND((N$53*$B14),$A$86)</f>
        <v>31000</v>
      </c>
      <c r="O58" s="10">
        <f>ROUND((O$53*$B14),$A$86)</f>
        <v>65000</v>
      </c>
      <c r="P58" s="10">
        <f>ROUND((P$53*$B14),$A$86)</f>
        <v>113000</v>
      </c>
      <c r="Q58" s="10">
        <f>ROUND((Q$53*$B14),$A$86)</f>
        <v>83000</v>
      </c>
      <c r="R58" s="10">
        <f>ROUND((R$53*$B14),$A$86)</f>
        <v>250000</v>
      </c>
      <c r="S58" s="22">
        <f>ROUND((S$53*$B14),$A$86)</f>
        <v>79000</v>
      </c>
      <c r="T58" s="22">
        <f>ROUND((T$53*$B14),$A$86)</f>
        <v>83000</v>
      </c>
      <c r="U58" s="22">
        <f>ROUND((U$53*$B14),$A$86)</f>
        <v>130000</v>
      </c>
      <c r="V58" s="22">
        <f>ROUND((V$53*$B14),$A$86)</f>
        <v>137000</v>
      </c>
      <c r="W58" s="22">
        <f>ROUND((W$53*$B14),$A$86)</f>
        <v>175000</v>
      </c>
      <c r="X58" s="22">
        <f>ROUND((X$53*$B14),$A$86)</f>
        <v>150000</v>
      </c>
      <c r="Y58" s="22">
        <f>ROUND((Y$53*$B14),$A$86)</f>
        <v>70000</v>
      </c>
      <c r="Z58" s="22">
        <f>ROUND((Z$53*$B14),$A$86)</f>
        <v>55000</v>
      </c>
      <c r="AA58" s="22">
        <f>ROUND((AA$53*$B14),$A$86)</f>
        <v>116000</v>
      </c>
      <c r="AB58" s="22">
        <f>ROUND((AB$53*$B14),$A$86)</f>
        <v>203000</v>
      </c>
      <c r="AC58" s="22">
        <f>ROUND((AC$53*$B14),$A$86)</f>
        <v>149000</v>
      </c>
      <c r="AD58" s="22">
        <f>ROUND((AD$53*$B14),$A$86)</f>
        <v>448000</v>
      </c>
    </row>
    <row r="59" spans="1:30">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row>
    <row r="60" spans="1:30">
      <c r="D60"/>
    </row>
    <row r="61" spans="1:30">
      <c r="A61" s="123" t="s">
        <v>73</v>
      </c>
      <c r="B61" s="24"/>
      <c r="C61" s="24"/>
      <c r="D61" s="24"/>
      <c r="E61" s="124" t="str">
        <f>IF(SUM(G61:R61)=1,"OK",IF(SUM(G61:R61)&gt;1,"ERROR &gt;100","ERROR &lt;100"))</f>
        <v>OK</v>
      </c>
      <c r="F61" s="24"/>
      <c r="G61" s="33">
        <v>0.06</v>
      </c>
      <c r="H61" s="33">
        <v>0.06</v>
      </c>
      <c r="I61" s="33">
        <v>0.09</v>
      </c>
      <c r="J61" s="33">
        <v>0.09</v>
      </c>
      <c r="K61" s="33">
        <v>0.11</v>
      </c>
      <c r="L61" s="33">
        <v>0.09</v>
      </c>
      <c r="M61" s="33">
        <v>0.04</v>
      </c>
      <c r="N61" s="33">
        <v>0.03</v>
      </c>
      <c r="O61" s="33">
        <v>0.06</v>
      </c>
      <c r="P61" s="33">
        <v>0.1</v>
      </c>
      <c r="Q61" s="33">
        <v>7.0000000000000007E-2</v>
      </c>
      <c r="R61" s="33">
        <v>0.2</v>
      </c>
      <c r="S61" s="5">
        <f>G61</f>
        <v>0.06</v>
      </c>
      <c r="T61" s="5">
        <f t="shared" ref="T61:AD61" si="56">H61</f>
        <v>0.06</v>
      </c>
      <c r="U61" s="5">
        <f t="shared" si="56"/>
        <v>0.09</v>
      </c>
      <c r="V61" s="5">
        <f t="shared" si="56"/>
        <v>0.09</v>
      </c>
      <c r="W61" s="5">
        <f t="shared" si="56"/>
        <v>0.11</v>
      </c>
      <c r="X61" s="5">
        <f t="shared" si="56"/>
        <v>0.09</v>
      </c>
      <c r="Y61" s="5">
        <f t="shared" si="56"/>
        <v>0.04</v>
      </c>
      <c r="Z61" s="5">
        <f t="shared" si="56"/>
        <v>0.03</v>
      </c>
      <c r="AA61" s="5">
        <f t="shared" si="56"/>
        <v>0.06</v>
      </c>
      <c r="AB61" s="5">
        <f t="shared" si="56"/>
        <v>0.1</v>
      </c>
      <c r="AC61" s="5">
        <f t="shared" si="56"/>
        <v>7.0000000000000007E-2</v>
      </c>
      <c r="AD61" s="5">
        <f t="shared" si="56"/>
        <v>0.2</v>
      </c>
    </row>
    <row r="62" spans="1:30">
      <c r="D62"/>
      <c r="F62" s="2"/>
    </row>
    <row r="63" spans="1:30">
      <c r="A63" s="82" t="s">
        <v>55</v>
      </c>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row>
    <row r="64" spans="1:30">
      <c r="A64" s="16" t="s">
        <v>19</v>
      </c>
      <c r="B64" s="9"/>
      <c r="C64" s="9"/>
      <c r="D64" s="9"/>
      <c r="E64" s="9"/>
      <c r="F64" s="3"/>
      <c r="G64" s="7">
        <v>1</v>
      </c>
      <c r="H64" s="7">
        <f>G64*(1+$B$7)</f>
        <v>1.05</v>
      </c>
      <c r="I64" s="7">
        <f t="shared" ref="I64:AD64" si="57">H64*(1+$B$7)</f>
        <v>1.1025</v>
      </c>
      <c r="J64" s="7">
        <f t="shared" si="57"/>
        <v>1.1576250000000001</v>
      </c>
      <c r="K64" s="7">
        <f t="shared" si="57"/>
        <v>1.2155062500000002</v>
      </c>
      <c r="L64" s="7">
        <f t="shared" si="57"/>
        <v>1.2762815625000004</v>
      </c>
      <c r="M64" s="7">
        <f t="shared" si="57"/>
        <v>1.3400956406250004</v>
      </c>
      <c r="N64" s="7">
        <f t="shared" si="57"/>
        <v>1.4071004226562505</v>
      </c>
      <c r="O64" s="7">
        <f t="shared" si="57"/>
        <v>1.477455443789063</v>
      </c>
      <c r="P64" s="7">
        <f t="shared" si="57"/>
        <v>1.5513282159785162</v>
      </c>
      <c r="Q64" s="7">
        <f t="shared" si="57"/>
        <v>1.628894626777442</v>
      </c>
      <c r="R64" s="7">
        <f t="shared" si="57"/>
        <v>1.7103393581163142</v>
      </c>
      <c r="S64" s="7">
        <f>R64*(1+$B$7)</f>
        <v>1.7958563260221301</v>
      </c>
      <c r="T64" s="7">
        <f t="shared" si="57"/>
        <v>1.8856491423232367</v>
      </c>
      <c r="U64" s="7">
        <f t="shared" si="57"/>
        <v>1.9799315994393987</v>
      </c>
      <c r="V64" s="7">
        <f t="shared" si="57"/>
        <v>2.0789281794113688</v>
      </c>
      <c r="W64" s="7">
        <f t="shared" si="57"/>
        <v>2.1828745883819374</v>
      </c>
      <c r="X64" s="7">
        <f t="shared" si="57"/>
        <v>2.2920183178010345</v>
      </c>
      <c r="Y64" s="7">
        <f t="shared" si="57"/>
        <v>2.4066192336910861</v>
      </c>
      <c r="Z64" s="7">
        <f t="shared" si="57"/>
        <v>2.5269501953756404</v>
      </c>
      <c r="AA64" s="7">
        <f t="shared" si="57"/>
        <v>2.6532977051444226</v>
      </c>
      <c r="AB64" s="7">
        <f t="shared" si="57"/>
        <v>2.7859625904016441</v>
      </c>
      <c r="AC64" s="7">
        <f t="shared" si="57"/>
        <v>2.9252607199217264</v>
      </c>
      <c r="AD64" s="7">
        <f t="shared" si="57"/>
        <v>3.0715237559178128</v>
      </c>
    </row>
    <row r="66" spans="1:30">
      <c r="A66" s="16" t="s">
        <v>20</v>
      </c>
      <c r="B66" s="9"/>
      <c r="C66" s="9"/>
      <c r="D66" s="9"/>
      <c r="E66" s="9"/>
      <c r="F66" s="3"/>
      <c r="G66" s="7">
        <f>G64*12*G61</f>
        <v>0.72</v>
      </c>
      <c r="H66" s="7">
        <f>H64*12*H61</f>
        <v>0.75600000000000001</v>
      </c>
      <c r="I66" s="7">
        <f>I64*12*I61</f>
        <v>1.1907000000000001</v>
      </c>
      <c r="J66" s="7">
        <f>J64*12*J61</f>
        <v>1.250235</v>
      </c>
      <c r="K66" s="7">
        <f>K64*12*K61</f>
        <v>1.6044682500000003</v>
      </c>
      <c r="L66" s="7">
        <f>L64*12*L61</f>
        <v>1.3783840875000004</v>
      </c>
      <c r="M66" s="7">
        <f>M64*12*M61</f>
        <v>0.64324590750000032</v>
      </c>
      <c r="N66" s="7">
        <f>N64*12*N61</f>
        <v>0.50655615215625016</v>
      </c>
      <c r="O66" s="7">
        <f>O64*12*O61</f>
        <v>1.0637679195281253</v>
      </c>
      <c r="P66" s="7">
        <f>P64*12*P61</f>
        <v>1.8615938591742194</v>
      </c>
      <c r="Q66" s="7">
        <f>Q64*12*Q61</f>
        <v>1.3682714864930514</v>
      </c>
      <c r="R66" s="7">
        <f>R64*12*R61</f>
        <v>4.1048144594791536</v>
      </c>
      <c r="S66" s="7">
        <f>S64*12*S61</f>
        <v>1.2930165547359336</v>
      </c>
      <c r="T66" s="7">
        <f>T64*12*T61</f>
        <v>1.3576673824727303</v>
      </c>
      <c r="U66" s="7">
        <f>U64*12*U61</f>
        <v>2.1383261273945506</v>
      </c>
      <c r="V66" s="7">
        <f>V64*12*V61</f>
        <v>2.245242433764278</v>
      </c>
      <c r="W66" s="7">
        <f>W64*12*W61</f>
        <v>2.8813944566641574</v>
      </c>
      <c r="X66" s="7">
        <f>X64*12*X61</f>
        <v>2.4753797832251174</v>
      </c>
      <c r="Y66" s="7">
        <f>Y64*12*Y61</f>
        <v>1.1551772321717213</v>
      </c>
      <c r="Z66" s="7">
        <f>Z64*12*Z61</f>
        <v>0.90970207033523054</v>
      </c>
      <c r="AA66" s="7">
        <f>AA64*12*AA61</f>
        <v>1.9103743477039841</v>
      </c>
      <c r="AB66" s="7">
        <f>AB64*12*AB61</f>
        <v>3.3431551084819731</v>
      </c>
      <c r="AC66" s="7">
        <f>AC64*12*AC61</f>
        <v>2.4572190047342501</v>
      </c>
      <c r="AD66" s="7">
        <f>AD64*12*AD61</f>
        <v>7.3716570142027509</v>
      </c>
    </row>
    <row r="68" spans="1:30">
      <c r="E68" s="82" t="s">
        <v>64</v>
      </c>
      <c r="F68" s="3"/>
      <c r="G68" s="3"/>
      <c r="H68" s="3"/>
      <c r="I68" s="3"/>
      <c r="J68" s="3"/>
      <c r="K68" s="3"/>
      <c r="L68" s="3"/>
      <c r="M68" s="3"/>
      <c r="N68" s="3"/>
      <c r="O68" s="3"/>
      <c r="P68" s="3"/>
      <c r="Q68" s="3"/>
      <c r="R68" s="3"/>
    </row>
    <row r="69" spans="1:30">
      <c r="A69" s="83" t="s">
        <v>56</v>
      </c>
      <c r="E69" s="3" t="s">
        <v>31</v>
      </c>
      <c r="F69" s="3"/>
      <c r="G69" s="3">
        <f>0</f>
        <v>0</v>
      </c>
      <c r="H69" s="3">
        <f t="shared" ref="H69:R69" si="58">G69+1</f>
        <v>1</v>
      </c>
      <c r="I69" s="3">
        <f t="shared" si="58"/>
        <v>2</v>
      </c>
      <c r="J69" s="3">
        <f t="shared" si="58"/>
        <v>3</v>
      </c>
      <c r="K69" s="3">
        <f t="shared" si="58"/>
        <v>4</v>
      </c>
      <c r="L69" s="3">
        <f t="shared" si="58"/>
        <v>5</v>
      </c>
      <c r="M69" s="3">
        <f t="shared" si="58"/>
        <v>6</v>
      </c>
      <c r="N69" s="3">
        <f t="shared" si="58"/>
        <v>7</v>
      </c>
      <c r="O69" s="3">
        <f t="shared" si="58"/>
        <v>8</v>
      </c>
      <c r="P69" s="3">
        <f t="shared" si="58"/>
        <v>9</v>
      </c>
      <c r="Q69" s="3">
        <f t="shared" si="58"/>
        <v>10</v>
      </c>
      <c r="R69" s="3">
        <f t="shared" si="58"/>
        <v>11</v>
      </c>
    </row>
    <row r="70" spans="1:30">
      <c r="A70" s="83">
        <v>0</v>
      </c>
      <c r="E70" s="3" t="s">
        <v>1</v>
      </c>
      <c r="F70" s="3"/>
      <c r="G70" s="3">
        <f>IF($B$19=G$69,1,0)</f>
        <v>0</v>
      </c>
      <c r="H70" s="3">
        <f>IF($B$19=H$69,1,0)</f>
        <v>0</v>
      </c>
      <c r="I70" s="3">
        <f>IF($B$19=I$69,1,0)</f>
        <v>0</v>
      </c>
      <c r="J70" s="3">
        <f>IF($B$19=J$69,1,0)</f>
        <v>1</v>
      </c>
      <c r="K70" s="3">
        <f>IF($B$19=K$69,1,0)</f>
        <v>0</v>
      </c>
      <c r="L70" s="3">
        <f>IF($B$19=L$69,1,0)</f>
        <v>0</v>
      </c>
      <c r="M70" s="3">
        <f>IF($B$19=M$69,1,0)</f>
        <v>0</v>
      </c>
      <c r="N70" s="3">
        <f>IF($B$19=N$69,1,0)</f>
        <v>0</v>
      </c>
      <c r="O70" s="3">
        <f>IF($B$19=O$69,1,0)</f>
        <v>0</v>
      </c>
      <c r="P70" s="3">
        <f>IF($B$19=P$69,1,0)</f>
        <v>0</v>
      </c>
      <c r="Q70" s="3">
        <f>IF($B$19=Q$69,1,0)</f>
        <v>0</v>
      </c>
      <c r="R70" s="3">
        <f>IF($B$19=R$69,1,0)</f>
        <v>0</v>
      </c>
    </row>
    <row r="71" spans="1:30">
      <c r="A71" s="3">
        <v>1</v>
      </c>
      <c r="E71" s="3" t="s">
        <v>2</v>
      </c>
      <c r="F71" s="3"/>
      <c r="G71" s="3">
        <f>IF($B$19=G$69,1,0)</f>
        <v>0</v>
      </c>
      <c r="H71" s="3">
        <f>IF($B$19=H$69,1,0)</f>
        <v>0</v>
      </c>
      <c r="I71" s="3">
        <f>IF($B$19=I$69,1,0)</f>
        <v>0</v>
      </c>
      <c r="J71" s="3">
        <f>IF($B$19=J$69,1,0)</f>
        <v>1</v>
      </c>
      <c r="K71" s="3">
        <f>IF($B$19=K$69,1,0)</f>
        <v>0</v>
      </c>
      <c r="L71" s="3">
        <f>IF($B$19=L$69,1,0)</f>
        <v>0</v>
      </c>
      <c r="M71" s="3">
        <f>IF($B$19=M$69,1,0)</f>
        <v>0</v>
      </c>
      <c r="N71" s="3">
        <f>IF($B$19=N$69,1,0)</f>
        <v>0</v>
      </c>
      <c r="O71" s="3">
        <f>IF($B$19=O$69,1,0)</f>
        <v>0</v>
      </c>
      <c r="P71" s="3">
        <f>IF($B$19=P$69,1,0)</f>
        <v>0</v>
      </c>
      <c r="Q71" s="3">
        <f>IF($B$19=Q$69,1,0)</f>
        <v>0</v>
      </c>
      <c r="R71" s="3">
        <f>IF($B$19=R$69,1,0)</f>
        <v>0</v>
      </c>
    </row>
    <row r="72" spans="1:30">
      <c r="A72" s="3">
        <v>2</v>
      </c>
      <c r="E72" s="3" t="s">
        <v>3</v>
      </c>
      <c r="F72" s="3"/>
      <c r="G72" s="3">
        <f>IF($B$19=G$69,1,0)</f>
        <v>0</v>
      </c>
      <c r="H72" s="3">
        <f>IF($B$19=H$69,1,0)</f>
        <v>0</v>
      </c>
      <c r="I72" s="3">
        <f>IF($B$19=I$69,1,0)</f>
        <v>0</v>
      </c>
      <c r="J72" s="3">
        <f>IF($B$19=J$69,1,0)</f>
        <v>1</v>
      </c>
      <c r="K72" s="3">
        <f>IF($B$19=K$69,1,0)</f>
        <v>0</v>
      </c>
      <c r="L72" s="3">
        <f>IF($B$19=L$69,1,0)</f>
        <v>0</v>
      </c>
      <c r="M72" s="3">
        <f>IF($B$19=M$69,1,0)</f>
        <v>0</v>
      </c>
      <c r="N72" s="3">
        <f>IF($B$19=N$69,1,0)</f>
        <v>0</v>
      </c>
      <c r="O72" s="3">
        <f>IF($B$19=O$69,1,0)</f>
        <v>0</v>
      </c>
      <c r="P72" s="3">
        <f>IF($B$19=P$69,1,0)</f>
        <v>0</v>
      </c>
      <c r="Q72" s="3">
        <f>IF($B$19=Q$69,1,0)</f>
        <v>0</v>
      </c>
      <c r="R72" s="3">
        <f>IF($B$19=R$69,1,0)</f>
        <v>0</v>
      </c>
    </row>
    <row r="73" spans="1:30">
      <c r="A73" s="3">
        <v>3</v>
      </c>
      <c r="E73" s="3" t="s">
        <v>4</v>
      </c>
      <c r="F73" s="3"/>
      <c r="G73" s="3">
        <f>IF($B$19=G$69,1,0)</f>
        <v>0</v>
      </c>
      <c r="H73" s="3">
        <f>IF($B$19=H$69,1,0)</f>
        <v>0</v>
      </c>
      <c r="I73" s="3">
        <f>IF($B$19=I$69,1,0)</f>
        <v>0</v>
      </c>
      <c r="J73" s="3">
        <f>IF($B$19=J$69,1,0)</f>
        <v>1</v>
      </c>
      <c r="K73" s="3">
        <f>IF($B$19=K$69,1,0)</f>
        <v>0</v>
      </c>
      <c r="L73" s="3">
        <f>IF($B$19=L$69,1,0)</f>
        <v>0</v>
      </c>
      <c r="M73" s="3">
        <f>IF($B$19=M$69,1,0)</f>
        <v>0</v>
      </c>
      <c r="N73" s="3">
        <f>IF($B$19=N$69,1,0)</f>
        <v>0</v>
      </c>
      <c r="O73" s="3">
        <f>IF($B$19=O$69,1,0)</f>
        <v>0</v>
      </c>
      <c r="P73" s="3">
        <f>IF($B$19=P$69,1,0)</f>
        <v>0</v>
      </c>
      <c r="Q73" s="3">
        <f>IF($B$19=Q$69,1,0)</f>
        <v>0</v>
      </c>
      <c r="R73" s="3">
        <f>IF($B$19=R$69,1,0)</f>
        <v>0</v>
      </c>
    </row>
    <row r="74" spans="1:30">
      <c r="A74" s="3">
        <v>4</v>
      </c>
      <c r="E74" s="3" t="s">
        <v>5</v>
      </c>
      <c r="F74" s="3"/>
      <c r="G74" s="3">
        <f>IF($B$19=G$69,1,0)</f>
        <v>0</v>
      </c>
      <c r="H74" s="3">
        <f>IF($B$19=H$69,1,0)</f>
        <v>0</v>
      </c>
      <c r="I74" s="3">
        <f>IF($B$19=I$69,1,0)</f>
        <v>0</v>
      </c>
      <c r="J74" s="3">
        <f>IF($B$19=J$69,1,0)</f>
        <v>1</v>
      </c>
      <c r="K74" s="3">
        <f>IF($B$19=K$69,1,0)</f>
        <v>0</v>
      </c>
      <c r="L74" s="3">
        <f>IF($B$19=L$69,1,0)</f>
        <v>0</v>
      </c>
      <c r="M74" s="3">
        <f>IF($B$19=M$69,1,0)</f>
        <v>0</v>
      </c>
      <c r="N74" s="3">
        <f>IF($B$19=N$69,1,0)</f>
        <v>0</v>
      </c>
      <c r="O74" s="3">
        <f>IF($B$19=O$69,1,0)</f>
        <v>0</v>
      </c>
      <c r="P74" s="3">
        <f>IF($B$19=P$69,1,0)</f>
        <v>0</v>
      </c>
      <c r="Q74" s="3">
        <f>IF($B$19=Q$69,1,0)</f>
        <v>0</v>
      </c>
      <c r="R74" s="3">
        <f>IF($B$19=R$69,1,0)</f>
        <v>0</v>
      </c>
    </row>
    <row r="75" spans="1:30">
      <c r="A75" s="3">
        <v>5</v>
      </c>
      <c r="E75" s="3"/>
      <c r="F75" s="3"/>
      <c r="G75" s="3"/>
      <c r="H75" s="3"/>
      <c r="I75" s="3"/>
      <c r="J75" s="3"/>
      <c r="K75" s="3"/>
      <c r="L75" s="3"/>
      <c r="M75" s="3"/>
      <c r="N75" s="3"/>
      <c r="O75" s="3"/>
      <c r="P75" s="3"/>
      <c r="Q75" s="3"/>
      <c r="R75" s="3"/>
    </row>
    <row r="76" spans="1:30">
      <c r="A76" s="3">
        <v>6</v>
      </c>
      <c r="E76" s="3"/>
      <c r="F76" s="3"/>
      <c r="G76" s="3"/>
      <c r="H76" s="3"/>
      <c r="I76" s="3"/>
      <c r="J76" s="3"/>
      <c r="K76" s="3"/>
      <c r="L76" s="3"/>
      <c r="M76" s="3"/>
      <c r="N76" s="3"/>
      <c r="O76" s="3"/>
      <c r="P76" s="3"/>
      <c r="Q76" s="3"/>
      <c r="R76" s="3"/>
    </row>
    <row r="77" spans="1:30">
      <c r="A77" s="3">
        <v>7</v>
      </c>
      <c r="E77" s="3" t="s">
        <v>12</v>
      </c>
      <c r="F77" s="3"/>
      <c r="G77" s="3"/>
      <c r="H77" s="3"/>
      <c r="I77" s="3"/>
      <c r="J77" s="3"/>
      <c r="K77" s="3"/>
      <c r="L77" s="3"/>
      <c r="M77" s="3"/>
      <c r="N77" s="3"/>
      <c r="O77" s="3"/>
      <c r="P77" s="3"/>
      <c r="Q77" s="3"/>
      <c r="R77" s="3"/>
    </row>
    <row r="78" spans="1:30">
      <c r="A78" s="3">
        <v>8</v>
      </c>
      <c r="E78" s="3" t="s">
        <v>1</v>
      </c>
      <c r="F78" s="3"/>
      <c r="G78" s="3">
        <f>IF($B$18+$B$19=G$69,1,0)</f>
        <v>0</v>
      </c>
      <c r="H78" s="3">
        <f>IF($B$18+$B$19=H$69,1,0)</f>
        <v>0</v>
      </c>
      <c r="I78" s="3">
        <f>IF($B$18+$B$19=I$69,1,0)</f>
        <v>0</v>
      </c>
      <c r="J78" s="3">
        <f>IF($B$18+$B$19=J$69,1,0)</f>
        <v>0</v>
      </c>
      <c r="K78" s="3">
        <f>IF($B$18+$B$19=K$69,1,0)</f>
        <v>1</v>
      </c>
      <c r="L78" s="3">
        <f>IF($B$18+$B$19=L$69,1,0)</f>
        <v>0</v>
      </c>
      <c r="M78" s="3">
        <f>IF($B$18+$B$19=M$69,1,0)</f>
        <v>0</v>
      </c>
      <c r="N78" s="3">
        <f>IF($B$18+$B$19=N$69,1,0)</f>
        <v>0</v>
      </c>
      <c r="O78" s="3">
        <f>IF($B$18+$B$19=O$69,1,0)</f>
        <v>0</v>
      </c>
      <c r="P78" s="3">
        <f>IF($B$18+$B$19=P$69,1,0)</f>
        <v>0</v>
      </c>
      <c r="Q78" s="3">
        <f>IF($B$18+$B$19=Q$69,1,0)</f>
        <v>0</v>
      </c>
      <c r="R78" s="3">
        <f>IF($B$18+$B$19=R$69,1,0)</f>
        <v>0</v>
      </c>
    </row>
    <row r="79" spans="1:30">
      <c r="A79" s="3">
        <v>9</v>
      </c>
      <c r="E79" s="3" t="s">
        <v>2</v>
      </c>
      <c r="F79" s="3"/>
      <c r="G79" s="3">
        <f>IF($B$18+$B$19=G$69,1,0)</f>
        <v>0</v>
      </c>
      <c r="H79" s="3">
        <f>IF($B$18+$B$19=H$69,1,0)</f>
        <v>0</v>
      </c>
      <c r="I79" s="3">
        <f>IF($B$18+$B$19=I$69,1,0)</f>
        <v>0</v>
      </c>
      <c r="J79" s="3">
        <f>IF($B$18+$B$19=J$69,1,0)</f>
        <v>0</v>
      </c>
      <c r="K79" s="3">
        <f>IF($B$18+$B$19=K$69,1,0)</f>
        <v>1</v>
      </c>
      <c r="L79" s="3">
        <f>IF($B$18+$B$19=L$69,1,0)</f>
        <v>0</v>
      </c>
      <c r="M79" s="3">
        <f>IF($B$18+$B$19=M$69,1,0)</f>
        <v>0</v>
      </c>
      <c r="N79" s="3">
        <f>IF($B$18+$B$19=N$69,1,0)</f>
        <v>0</v>
      </c>
      <c r="O79" s="3">
        <f>IF($B$18+$B$19=O$69,1,0)</f>
        <v>0</v>
      </c>
      <c r="P79" s="3">
        <f>IF($B$18+$B$19=P$69,1,0)</f>
        <v>0</v>
      </c>
      <c r="Q79" s="3">
        <f>IF($B$18+$B$19=Q$69,1,0)</f>
        <v>0</v>
      </c>
      <c r="R79" s="3">
        <f>IF($B$18+$B$19=R$69,1,0)</f>
        <v>0</v>
      </c>
    </row>
    <row r="80" spans="1:30">
      <c r="A80" s="4">
        <v>1</v>
      </c>
      <c r="E80" s="3" t="s">
        <v>3</v>
      </c>
      <c r="F80" s="3"/>
      <c r="G80" s="3">
        <f>IF($B$18+$B$19=G$69,1,0)</f>
        <v>0</v>
      </c>
      <c r="H80" s="3">
        <f>IF($B$18+$B$19=H$69,1,0)</f>
        <v>0</v>
      </c>
      <c r="I80" s="3">
        <f>IF($B$18+$B$19=I$69,1,0)</f>
        <v>0</v>
      </c>
      <c r="J80" s="3">
        <f>IF($B$18+$B$19=J$69,1,0)</f>
        <v>0</v>
      </c>
      <c r="K80" s="3">
        <f>IF($B$18+$B$19=K$69,1,0)</f>
        <v>1</v>
      </c>
      <c r="L80" s="3">
        <f>IF($B$18+$B$19=L$69,1,0)</f>
        <v>0</v>
      </c>
      <c r="M80" s="3">
        <f>IF($B$18+$B$19=M$69,1,0)</f>
        <v>0</v>
      </c>
      <c r="N80" s="3">
        <f>IF($B$18+$B$19=N$69,1,0)</f>
        <v>0</v>
      </c>
      <c r="O80" s="3">
        <f>IF($B$18+$B$19=O$69,1,0)</f>
        <v>0</v>
      </c>
      <c r="P80" s="3">
        <f>IF($B$18+$B$19=P$69,1,0)</f>
        <v>0</v>
      </c>
      <c r="Q80" s="3">
        <f>IF($B$18+$B$19=Q$69,1,0)</f>
        <v>0</v>
      </c>
      <c r="R80" s="3">
        <f>IF($B$18+$B$19=R$69,1,0)</f>
        <v>0</v>
      </c>
    </row>
    <row r="81" spans="1:18">
      <c r="A81" s="4">
        <v>100</v>
      </c>
      <c r="E81" s="3" t="s">
        <v>4</v>
      </c>
      <c r="F81" s="3"/>
      <c r="G81" s="3">
        <f>IF($B$18+$B$19=G$69,1,0)</f>
        <v>0</v>
      </c>
      <c r="H81" s="3">
        <f>IF($B$18+$B$19=H$69,1,0)</f>
        <v>0</v>
      </c>
      <c r="I81" s="3">
        <f>IF($B$18+$B$19=I$69,1,0)</f>
        <v>0</v>
      </c>
      <c r="J81" s="3">
        <f>IF($B$18+$B$19=J$69,1,0)</f>
        <v>0</v>
      </c>
      <c r="K81" s="3">
        <f>IF($B$18+$B$19=K$69,1,0)</f>
        <v>1</v>
      </c>
      <c r="L81" s="3">
        <f>IF($B$18+$B$19=L$69,1,0)</f>
        <v>0</v>
      </c>
      <c r="M81" s="3">
        <f>IF($B$18+$B$19=M$69,1,0)</f>
        <v>0</v>
      </c>
      <c r="N81" s="3">
        <f>IF($B$18+$B$19=N$69,1,0)</f>
        <v>0</v>
      </c>
      <c r="O81" s="3">
        <f>IF($B$18+$B$19=O$69,1,0)</f>
        <v>0</v>
      </c>
      <c r="P81" s="3">
        <f>IF($B$18+$B$19=P$69,1,0)</f>
        <v>0</v>
      </c>
      <c r="Q81" s="3">
        <f>IF($B$18+$B$19=Q$69,1,0)</f>
        <v>0</v>
      </c>
      <c r="R81" s="3">
        <f>IF($B$18+$B$19=R$69,1,0)</f>
        <v>0</v>
      </c>
    </row>
    <row r="82" spans="1:18">
      <c r="A82" s="4">
        <v>1000</v>
      </c>
      <c r="E82" s="3" t="s">
        <v>5</v>
      </c>
      <c r="F82" s="3"/>
      <c r="G82" s="3">
        <f>IF($B$18+$B$19=G$69,1,0)</f>
        <v>0</v>
      </c>
      <c r="H82" s="3">
        <f>IF($B$18+$B$19=H$69,1,0)</f>
        <v>0</v>
      </c>
      <c r="I82" s="3">
        <f>IF($B$18+$B$19=I$69,1,0)</f>
        <v>0</v>
      </c>
      <c r="J82" s="3">
        <f>IF($B$18+$B$19=J$69,1,0)</f>
        <v>0</v>
      </c>
      <c r="K82" s="3">
        <f>IF($B$18+$B$19=K$69,1,0)</f>
        <v>1</v>
      </c>
      <c r="L82" s="3">
        <f>IF($B$18+$B$19=L$69,1,0)</f>
        <v>0</v>
      </c>
      <c r="M82" s="3">
        <f>IF($B$18+$B$19=M$69,1,0)</f>
        <v>0</v>
      </c>
      <c r="N82" s="3">
        <f>IF($B$18+$B$19=N$69,1,0)</f>
        <v>0</v>
      </c>
      <c r="O82" s="3">
        <f>IF($B$18+$B$19=O$69,1,0)</f>
        <v>0</v>
      </c>
      <c r="P82" s="3">
        <f>IF($B$18+$B$19=P$69,1,0)</f>
        <v>0</v>
      </c>
      <c r="Q82" s="3">
        <f>IF($B$18+$B$19=Q$69,1,0)</f>
        <v>0</v>
      </c>
      <c r="R82" s="3">
        <f>IF($B$18+$B$19=R$69,1,0)</f>
        <v>0</v>
      </c>
    </row>
    <row r="83" spans="1:18">
      <c r="A83" s="4">
        <v>10000</v>
      </c>
    </row>
    <row r="84" spans="1:18">
      <c r="A84" s="4">
        <v>100000</v>
      </c>
    </row>
    <row r="85" spans="1:18">
      <c r="A85" s="4">
        <v>1000000</v>
      </c>
    </row>
    <row r="86" spans="1:18">
      <c r="A86" s="3">
        <f>IF(B23=A80,0,IF(B23=A81,-2,IF(B23=A82,-3,IF(A83=B23,-4,IF(B23=A84,-5,IF(B23=A85,-6,0))))))</f>
        <v>-3</v>
      </c>
    </row>
  </sheetData>
  <mergeCells count="2">
    <mergeCell ref="E6:G6"/>
    <mergeCell ref="A1:B2"/>
  </mergeCells>
  <conditionalFormatting sqref="G5:R5">
    <cfRule type="colorScale" priority="11">
      <colorScale>
        <cfvo type="min"/>
        <cfvo type="percentile" val="50"/>
        <cfvo type="max"/>
        <color rgb="FFF8696B"/>
        <color rgb="FFFCFCFF"/>
        <color rgb="FF5A8AC6"/>
      </colorScale>
    </cfRule>
  </conditionalFormatting>
  <conditionalFormatting sqref="G8 G14:G17 G20:G23">
    <cfRule type="expression" dxfId="12" priority="19">
      <formula>#REF!=1</formula>
    </cfRule>
  </conditionalFormatting>
  <conditionalFormatting sqref="G33:R37">
    <cfRule type="expression" dxfId="11" priority="20">
      <formula>G70=1</formula>
    </cfRule>
  </conditionalFormatting>
  <conditionalFormatting sqref="G40:R44">
    <cfRule type="expression" dxfId="10" priority="21">
      <formula>G70=1</formula>
    </cfRule>
  </conditionalFormatting>
  <conditionalFormatting sqref="G47:R51">
    <cfRule type="expression" dxfId="9" priority="22">
      <formula>G78=1</formula>
    </cfRule>
  </conditionalFormatting>
  <conditionalFormatting sqref="G54:R58">
    <cfRule type="expression" dxfId="8" priority="23">
      <formula>G78=1</formula>
    </cfRule>
  </conditionalFormatting>
  <conditionalFormatting sqref="E61">
    <cfRule type="expression" dxfId="7" priority="1">
      <formula>OR(SUM(G61:R61)&gt;1,SUM(G61:R61)&lt;1)</formula>
    </cfRule>
  </conditionalFormatting>
  <dataValidations count="4">
    <dataValidation type="whole" allowBlank="1" showInputMessage="1" showErrorMessage="1" errorTitle="Must Equal 100" sqref="B15">
      <formula1>1</formula1>
      <formula2>1</formula2>
    </dataValidation>
    <dataValidation type="list" allowBlank="1" showInputMessage="1" showErrorMessage="1" sqref="B18">
      <formula1>$A$70:$A$79</formula1>
    </dataValidation>
    <dataValidation type="list" allowBlank="1" showInputMessage="1" showErrorMessage="1" sqref="B19">
      <formula1>$A$70:$A$73</formula1>
    </dataValidation>
    <dataValidation type="list" allowBlank="1" showInputMessage="1" showErrorMessage="1" sqref="B23">
      <formula1>$A$80:$A$85</formula1>
    </dataValidation>
  </dataValidations>
  <pageMargins left="0.75" right="0.75" top="1" bottom="1" header="0.5" footer="0.5"/>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79"/>
  <sheetViews>
    <sheetView workbookViewId="0">
      <pane xSplit="5" ySplit="2" topLeftCell="F3" activePane="bottomRight" state="frozen"/>
      <selection pane="topRight" activeCell="B1" sqref="B1"/>
      <selection pane="bottomLeft" activeCell="A3" sqref="A3"/>
      <selection pane="bottomRight" activeCell="A11" sqref="A11"/>
    </sheetView>
  </sheetViews>
  <sheetFormatPr baseColWidth="10" defaultRowHeight="15" x14ac:dyDescent="0"/>
  <cols>
    <col min="1" max="1" width="37" customWidth="1"/>
    <col min="2" max="2" width="15.6640625" customWidth="1"/>
    <col min="3" max="3" width="5.83203125" customWidth="1"/>
    <col min="4" max="4" width="5.1640625" style="1" customWidth="1"/>
    <col min="5" max="5" width="23.6640625" bestFit="1" customWidth="1"/>
    <col min="6" max="6" width="15.33203125" bestFit="1" customWidth="1"/>
    <col min="7" max="10" width="17.5" bestFit="1" customWidth="1"/>
    <col min="11" max="11" width="18.5" bestFit="1" customWidth="1"/>
    <col min="12" max="15" width="17.5" bestFit="1" customWidth="1"/>
    <col min="16" max="16" width="18.5" bestFit="1" customWidth="1"/>
    <col min="17" max="17" width="17.5" bestFit="1" customWidth="1"/>
    <col min="18" max="18" width="18.5" bestFit="1" customWidth="1"/>
    <col min="19" max="30" width="13.6640625" customWidth="1"/>
  </cols>
  <sheetData>
    <row r="1" spans="1:30" ht="16" thickBot="1">
      <c r="D1" s="27"/>
      <c r="E1" s="27"/>
      <c r="F1" s="27"/>
      <c r="G1" s="85">
        <v>41640</v>
      </c>
      <c r="H1" s="85">
        <v>41671</v>
      </c>
      <c r="I1" s="85">
        <v>41699</v>
      </c>
      <c r="J1" s="85">
        <v>41730</v>
      </c>
      <c r="K1" s="85">
        <v>41760</v>
      </c>
      <c r="L1" s="85">
        <v>41791</v>
      </c>
      <c r="M1" s="85">
        <v>41821</v>
      </c>
      <c r="N1" s="85">
        <v>41852</v>
      </c>
      <c r="O1" s="85">
        <v>41883</v>
      </c>
      <c r="P1" s="85">
        <v>41913</v>
      </c>
      <c r="Q1" s="85">
        <v>41944</v>
      </c>
      <c r="R1" s="85">
        <v>41974</v>
      </c>
      <c r="S1" s="86">
        <v>42005</v>
      </c>
      <c r="T1" s="86">
        <v>42036</v>
      </c>
      <c r="U1" s="86">
        <v>42064</v>
      </c>
      <c r="V1" s="86">
        <v>42095</v>
      </c>
      <c r="W1" s="86">
        <v>42125</v>
      </c>
      <c r="X1" s="86">
        <v>42156</v>
      </c>
      <c r="Y1" s="86">
        <v>42186</v>
      </c>
      <c r="Z1" s="86">
        <v>42217</v>
      </c>
      <c r="AA1" s="86">
        <v>42248</v>
      </c>
      <c r="AB1" s="86">
        <v>42278</v>
      </c>
      <c r="AC1" s="86">
        <v>42309</v>
      </c>
      <c r="AD1" s="86">
        <v>42339</v>
      </c>
    </row>
    <row r="2" spans="1:30" ht="37" customHeight="1" thickTop="1" thickBot="1">
      <c r="A2" s="115" t="s">
        <v>63</v>
      </c>
      <c r="B2" s="116"/>
      <c r="C2" s="19"/>
      <c r="D2" s="25"/>
      <c r="E2" s="25"/>
      <c r="F2" s="25" t="s">
        <v>21</v>
      </c>
      <c r="G2" s="26"/>
      <c r="H2" s="26"/>
      <c r="I2" s="26"/>
      <c r="J2" s="26"/>
      <c r="K2" s="26"/>
      <c r="L2" s="26"/>
      <c r="M2" s="26"/>
      <c r="N2" s="26"/>
      <c r="O2" s="26"/>
      <c r="P2" s="26"/>
      <c r="Q2" s="26"/>
      <c r="R2" s="67"/>
      <c r="S2" s="84" t="s">
        <v>62</v>
      </c>
      <c r="T2" s="20"/>
      <c r="U2" s="20"/>
      <c r="V2" s="20"/>
      <c r="W2" s="20"/>
      <c r="X2" s="20"/>
      <c r="Y2" s="20"/>
      <c r="Z2" s="20"/>
      <c r="AA2" s="20"/>
      <c r="AB2" s="20"/>
      <c r="AC2" s="20"/>
      <c r="AD2" s="20"/>
    </row>
    <row r="3" spans="1:30" ht="16" thickTop="1">
      <c r="A3" s="127" t="s">
        <v>74</v>
      </c>
      <c r="B3" s="128"/>
      <c r="C3" s="34"/>
      <c r="D3" s="25"/>
      <c r="E3" s="31" t="s">
        <v>30</v>
      </c>
      <c r="F3" s="2" t="s">
        <v>22</v>
      </c>
      <c r="G3" s="113">
        <f ca="1">'1. Bottom Up Revenue Model'!$B$26*'2. Top Down Revenue Model'!G7</f>
        <v>40543.10222264348</v>
      </c>
      <c r="H3" s="113">
        <f ca="1">'1. Bottom Up Revenue Model'!$B$26*'2. Top Down Revenue Model'!H7</f>
        <v>32447.119409822601</v>
      </c>
      <c r="I3" s="113">
        <f ca="1">'1. Bottom Up Revenue Model'!$B$26*'2. Top Down Revenue Model'!I7</f>
        <v>17842.756267475477</v>
      </c>
      <c r="J3" s="113">
        <f ca="1">'1. Bottom Up Revenue Model'!$B$26*'2. Top Down Revenue Model'!J7</f>
        <v>16263.052303998231</v>
      </c>
      <c r="K3" s="113">
        <f ca="1">'1. Bottom Up Revenue Model'!$B$26*'2. Top Down Revenue Model'!K7</f>
        <v>26957.648136739175</v>
      </c>
      <c r="L3" s="113">
        <f ca="1">'1. Bottom Up Revenue Model'!$B$26*'2. Top Down Revenue Model'!L7</f>
        <v>48710.171713820833</v>
      </c>
      <c r="M3" s="113">
        <f ca="1">'1. Bottom Up Revenue Model'!$B$26*'2. Top Down Revenue Model'!M7</f>
        <v>32447.119409822601</v>
      </c>
      <c r="N3" s="113">
        <f ca="1">'1. Bottom Up Revenue Model'!$B$26*'2. Top Down Revenue Model'!N7</f>
        <v>103123.07473579452</v>
      </c>
      <c r="O3" s="113">
        <f ca="1">'1. Bottom Up Revenue Model'!$B$26*'2. Top Down Revenue Model'!O7</f>
        <v>32447.119409822601</v>
      </c>
      <c r="P3" s="113">
        <f ca="1">'1. Bottom Up Revenue Model'!$B$26*'2. Top Down Revenue Model'!P7</f>
        <v>32447.119409822601</v>
      </c>
      <c r="Q3" s="113">
        <f ca="1">'1. Bottom Up Revenue Model'!$B$26*'2. Top Down Revenue Model'!Q7</f>
        <v>58385.858490118953</v>
      </c>
      <c r="R3" s="113">
        <f ca="1">'1. Bottom Up Revenue Model'!$B$26*'2. Top Down Revenue Model'!R7</f>
        <v>58385.858490118953</v>
      </c>
      <c r="S3" s="20"/>
      <c r="T3" s="20"/>
      <c r="U3" s="20"/>
      <c r="V3" s="20"/>
      <c r="W3" s="20"/>
      <c r="X3" s="20"/>
      <c r="Y3" s="20"/>
      <c r="Z3" s="20"/>
      <c r="AA3" s="20"/>
      <c r="AB3" s="20"/>
      <c r="AC3" s="20"/>
      <c r="AD3" s="20"/>
    </row>
    <row r="4" spans="1:30">
      <c r="A4" s="129"/>
      <c r="B4" s="130"/>
      <c r="C4" s="35"/>
      <c r="D4" s="25"/>
      <c r="E4" s="31" t="s">
        <v>58</v>
      </c>
      <c r="F4" s="2" t="s">
        <v>22</v>
      </c>
      <c r="G4" s="114">
        <f>'1. Bottom Up Revenue Model'!G4</f>
        <v>42000</v>
      </c>
      <c r="H4" s="114">
        <f>'1. Bottom Up Revenue Model'!H4</f>
        <v>42000</v>
      </c>
      <c r="I4" s="114">
        <f>'1. Bottom Up Revenue Model'!I4</f>
        <v>42000</v>
      </c>
      <c r="J4" s="114">
        <f>'1. Bottom Up Revenue Model'!J4</f>
        <v>42000</v>
      </c>
      <c r="K4" s="114">
        <f>'1. Bottom Up Revenue Model'!K4</f>
        <v>42000</v>
      </c>
      <c r="L4" s="114">
        <f>'1. Bottom Up Revenue Model'!L4</f>
        <v>42000</v>
      </c>
      <c r="M4" s="114">
        <f>'1. Bottom Up Revenue Model'!M4</f>
        <v>42000</v>
      </c>
      <c r="N4" s="114">
        <f>'1. Bottom Up Revenue Model'!N4</f>
        <v>42000</v>
      </c>
      <c r="O4" s="114">
        <f>'1. Bottom Up Revenue Model'!O4</f>
        <v>42000</v>
      </c>
      <c r="P4" s="114">
        <f>'1. Bottom Up Revenue Model'!P4</f>
        <v>42000</v>
      </c>
      <c r="Q4" s="114">
        <f>'1. Bottom Up Revenue Model'!Q4</f>
        <v>42000</v>
      </c>
      <c r="R4" s="114">
        <f>'1. Bottom Up Revenue Model'!R4</f>
        <v>42000</v>
      </c>
      <c r="S4" s="20"/>
      <c r="T4" s="20"/>
      <c r="U4" s="20"/>
      <c r="V4" s="20"/>
      <c r="W4" s="20"/>
      <c r="X4" s="20"/>
      <c r="Y4" s="20"/>
      <c r="Z4" s="20"/>
      <c r="AA4" s="20"/>
      <c r="AB4" s="20"/>
      <c r="AC4" s="20"/>
      <c r="AD4" s="20"/>
    </row>
    <row r="5" spans="1:30">
      <c r="A5" s="129"/>
      <c r="B5" s="130"/>
      <c r="C5" s="35"/>
      <c r="D5" s="25"/>
      <c r="E5" s="31" t="s">
        <v>59</v>
      </c>
      <c r="F5" s="2" t="s">
        <v>22</v>
      </c>
      <c r="G5" s="32">
        <f ca="1">G4/G7</f>
        <v>8.1823495032144944</v>
      </c>
      <c r="H5" s="32">
        <f t="shared" ref="H5:R5" ca="1" si="0">H4/H7</f>
        <v>10.223953261927946</v>
      </c>
      <c r="I5" s="32">
        <f t="shared" ca="1" si="0"/>
        <v>18.592297476759629</v>
      </c>
      <c r="J5" s="32">
        <f t="shared" ca="1" si="0"/>
        <v>20.398251578436135</v>
      </c>
      <c r="K5" s="32">
        <f t="shared" ca="1" si="0"/>
        <v>12.305889246996777</v>
      </c>
      <c r="L5" s="32">
        <f t="shared" ca="1" si="0"/>
        <v>6.8104426787741206</v>
      </c>
      <c r="M5" s="32">
        <f t="shared" ca="1" si="0"/>
        <v>10.223953261927946</v>
      </c>
      <c r="N5" s="32">
        <f t="shared" ca="1" si="0"/>
        <v>3.2169117647058822</v>
      </c>
      <c r="O5" s="32">
        <f t="shared" ca="1" si="0"/>
        <v>10.223953261927946</v>
      </c>
      <c r="P5" s="32">
        <f t="shared" ca="1" si="0"/>
        <v>10.223953261927946</v>
      </c>
      <c r="Q5" s="32">
        <f t="shared" ca="1" si="0"/>
        <v>5.6818181818181817</v>
      </c>
      <c r="R5" s="32">
        <f t="shared" ca="1" si="0"/>
        <v>5.6818181818181817</v>
      </c>
      <c r="S5" s="20"/>
      <c r="T5" s="20"/>
      <c r="U5" s="20"/>
      <c r="V5" s="20"/>
      <c r="W5" s="20"/>
      <c r="X5" s="20"/>
      <c r="Y5" s="20"/>
      <c r="Z5" s="20"/>
      <c r="AA5" s="20"/>
      <c r="AB5" s="20"/>
      <c r="AC5" s="20"/>
      <c r="AD5" s="20"/>
    </row>
    <row r="6" spans="1:30">
      <c r="A6" s="129"/>
      <c r="B6" s="130"/>
      <c r="C6" s="35"/>
      <c r="D6" s="27"/>
      <c r="E6" s="117" t="s">
        <v>65</v>
      </c>
      <c r="F6" s="117"/>
      <c r="G6" s="117"/>
      <c r="H6" s="28"/>
      <c r="I6" s="28"/>
      <c r="J6" s="28"/>
      <c r="K6" s="28"/>
      <c r="L6" s="28"/>
      <c r="M6" s="28"/>
      <c r="N6" s="28"/>
      <c r="O6" s="28"/>
      <c r="P6" s="28"/>
      <c r="Q6" s="28"/>
      <c r="R6" s="45"/>
      <c r="S6" s="20"/>
      <c r="T6" s="20"/>
      <c r="U6" s="20"/>
      <c r="V6" s="20"/>
      <c r="W6" s="20"/>
      <c r="X6" s="20"/>
      <c r="Y6" s="20"/>
      <c r="Z6" s="20"/>
      <c r="AA6" s="20"/>
      <c r="AB6" s="20"/>
      <c r="AC6" s="20"/>
      <c r="AD6" s="20"/>
    </row>
    <row r="7" spans="1:30">
      <c r="A7" s="129"/>
      <c r="B7" s="130"/>
      <c r="C7" s="36"/>
      <c r="D7" s="24"/>
      <c r="E7" s="11" t="s">
        <v>7</v>
      </c>
      <c r="F7" s="12"/>
      <c r="G7" s="15">
        <f t="shared" ref="G7:AD7" ca="1" si="1">SUM(G8:G11)</f>
        <v>5133</v>
      </c>
      <c r="H7" s="15">
        <f t="shared" ca="1" si="1"/>
        <v>4108</v>
      </c>
      <c r="I7" s="15">
        <f t="shared" ca="1" si="1"/>
        <v>2259</v>
      </c>
      <c r="J7" s="15">
        <f t="shared" ca="1" si="1"/>
        <v>2059</v>
      </c>
      <c r="K7" s="15">
        <f t="shared" ca="1" si="1"/>
        <v>3413</v>
      </c>
      <c r="L7" s="15">
        <f t="shared" ca="1" si="1"/>
        <v>6167</v>
      </c>
      <c r="M7" s="15">
        <f t="shared" ca="1" si="1"/>
        <v>4108</v>
      </c>
      <c r="N7" s="15">
        <f t="shared" ca="1" si="1"/>
        <v>13056</v>
      </c>
      <c r="O7" s="15">
        <f t="shared" ca="1" si="1"/>
        <v>4108</v>
      </c>
      <c r="P7" s="15">
        <f t="shared" ca="1" si="1"/>
        <v>4108</v>
      </c>
      <c r="Q7" s="15">
        <f t="shared" ca="1" si="1"/>
        <v>7392</v>
      </c>
      <c r="R7" s="68">
        <f t="shared" ca="1" si="1"/>
        <v>7392</v>
      </c>
      <c r="S7" s="21">
        <f t="shared" ca="1" si="1"/>
        <v>9448</v>
      </c>
      <c r="T7" s="21">
        <f t="shared" ca="1" si="1"/>
        <v>8093</v>
      </c>
      <c r="U7" s="21">
        <f t="shared" ca="1" si="1"/>
        <v>3820</v>
      </c>
      <c r="V7" s="21">
        <f t="shared" ca="1" si="1"/>
        <v>2958</v>
      </c>
      <c r="W7" s="21">
        <f t="shared" ca="1" si="1"/>
        <v>6285</v>
      </c>
      <c r="X7" s="21">
        <f t="shared" ca="1" si="1"/>
        <v>10884</v>
      </c>
      <c r="Y7" s="21">
        <f t="shared" ca="1" si="1"/>
        <v>8093</v>
      </c>
      <c r="Z7" s="21">
        <f t="shared" ca="1" si="1"/>
        <v>24151</v>
      </c>
      <c r="AA7" s="21">
        <f t="shared" ca="1" si="1"/>
        <v>0</v>
      </c>
      <c r="AB7" s="21">
        <f t="shared" ca="1" si="1"/>
        <v>0</v>
      </c>
      <c r="AC7" s="21">
        <f t="shared" ca="1" si="1"/>
        <v>0</v>
      </c>
      <c r="AD7" s="21">
        <f t="shared" ca="1" si="1"/>
        <v>0</v>
      </c>
    </row>
    <row r="8" spans="1:30">
      <c r="A8" s="129"/>
      <c r="B8" s="130"/>
      <c r="C8" s="19"/>
      <c r="D8" s="24"/>
      <c r="E8" s="17" t="s">
        <v>1</v>
      </c>
      <c r="F8" s="2" t="s">
        <v>22</v>
      </c>
      <c r="G8" s="111">
        <f ca="1">'1. Bottom Up Revenue Model'!G8</f>
        <v>920</v>
      </c>
      <c r="H8" s="112">
        <f ca="1">'1. Bottom Up Revenue Model'!H8</f>
        <v>720</v>
      </c>
      <c r="I8" s="112">
        <f ca="1">'1. Bottom Up Revenue Model'!I8</f>
        <v>400</v>
      </c>
      <c r="J8" s="112">
        <f ca="1">'1. Bottom Up Revenue Model'!J8</f>
        <v>400</v>
      </c>
      <c r="K8" s="112">
        <f ca="1">'1. Bottom Up Revenue Model'!K8</f>
        <v>600</v>
      </c>
      <c r="L8" s="112">
        <f ca="1">'1. Bottom Up Revenue Model'!L8</f>
        <v>1120</v>
      </c>
      <c r="M8" s="112">
        <f ca="1">'1. Bottom Up Revenue Model'!M8</f>
        <v>720</v>
      </c>
      <c r="N8" s="112">
        <f ca="1">'1. Bottom Up Revenue Model'!N8</f>
        <v>2280</v>
      </c>
      <c r="O8" s="112">
        <f ca="1">'1. Bottom Up Revenue Model'!O8</f>
        <v>720</v>
      </c>
      <c r="P8" s="112">
        <f ca="1">'1. Bottom Up Revenue Model'!P8</f>
        <v>720</v>
      </c>
      <c r="Q8" s="112">
        <f ca="1">'1. Bottom Up Revenue Model'!Q8</f>
        <v>1320</v>
      </c>
      <c r="R8" s="112">
        <f ca="1">'1. Bottom Up Revenue Model'!R8</f>
        <v>1320</v>
      </c>
      <c r="S8" s="21">
        <f ca="1">'1. Bottom Up Revenue Model'!S8</f>
        <v>1680</v>
      </c>
      <c r="T8" s="21">
        <f ca="1">'1. Bottom Up Revenue Model'!T8</f>
        <v>1440</v>
      </c>
      <c r="U8" s="21">
        <f ca="1">'1. Bottom Up Revenue Model'!U8</f>
        <v>680</v>
      </c>
      <c r="V8" s="21">
        <f ca="1">'1. Bottom Up Revenue Model'!V8</f>
        <v>520</v>
      </c>
      <c r="W8" s="21">
        <f ca="1">'1. Bottom Up Revenue Model'!W8</f>
        <v>1120</v>
      </c>
      <c r="X8" s="21">
        <f ca="1">'1. Bottom Up Revenue Model'!X8</f>
        <v>1920</v>
      </c>
      <c r="Y8" s="21">
        <f ca="1">'1. Bottom Up Revenue Model'!Y8</f>
        <v>1440</v>
      </c>
      <c r="Z8" s="21">
        <f ca="1">'1. Bottom Up Revenue Model'!Z8</f>
        <v>4280</v>
      </c>
      <c r="AA8" s="21">
        <f ca="1">'1. Bottom Up Revenue Model'!AA8</f>
        <v>0</v>
      </c>
      <c r="AB8" s="21">
        <f ca="1">'1. Bottom Up Revenue Model'!AB8</f>
        <v>0</v>
      </c>
      <c r="AC8" s="21">
        <f ca="1">'1. Bottom Up Revenue Model'!AC8</f>
        <v>0</v>
      </c>
      <c r="AD8" s="21">
        <f ca="1">'1. Bottom Up Revenue Model'!AD8</f>
        <v>0</v>
      </c>
    </row>
    <row r="9" spans="1:30" ht="16" thickBot="1">
      <c r="A9" s="131"/>
      <c r="B9" s="132"/>
      <c r="C9" s="35"/>
      <c r="D9" s="24"/>
      <c r="E9" s="17" t="s">
        <v>2</v>
      </c>
      <c r="F9" s="2" t="s">
        <v>22</v>
      </c>
      <c r="G9" s="111">
        <f ca="1">'1. Bottom Up Revenue Model'!G9</f>
        <v>1320</v>
      </c>
      <c r="H9" s="112">
        <f ca="1">'1. Bottom Up Revenue Model'!H9</f>
        <v>1120</v>
      </c>
      <c r="I9" s="112">
        <f ca="1">'1. Bottom Up Revenue Model'!I9</f>
        <v>600</v>
      </c>
      <c r="J9" s="112">
        <f ca="1">'1. Bottom Up Revenue Model'!J9</f>
        <v>400</v>
      </c>
      <c r="K9" s="112">
        <f ca="1">'1. Bottom Up Revenue Model'!K9</f>
        <v>920</v>
      </c>
      <c r="L9" s="112">
        <f ca="1">'1. Bottom Up Revenue Model'!L9</f>
        <v>1520</v>
      </c>
      <c r="M9" s="112">
        <f ca="1">'1. Bottom Up Revenue Model'!M9</f>
        <v>1120</v>
      </c>
      <c r="N9" s="112">
        <f ca="1">'1. Bottom Up Revenue Model'!N9</f>
        <v>3600</v>
      </c>
      <c r="O9" s="112">
        <f ca="1">'1. Bottom Up Revenue Model'!O9</f>
        <v>1120</v>
      </c>
      <c r="P9" s="112">
        <f ca="1">'1. Bottom Up Revenue Model'!P9</f>
        <v>1120</v>
      </c>
      <c r="Q9" s="112">
        <f ca="1">'1. Bottom Up Revenue Model'!Q9</f>
        <v>1920</v>
      </c>
      <c r="R9" s="112">
        <f ca="1">'1. Bottom Up Revenue Model'!R9</f>
        <v>1920</v>
      </c>
      <c r="S9" s="21">
        <f ca="1">'1. Bottom Up Revenue Model'!S9</f>
        <v>2480</v>
      </c>
      <c r="T9" s="21">
        <f ca="1">'1. Bottom Up Revenue Model'!T9</f>
        <v>2120</v>
      </c>
      <c r="U9" s="21">
        <f ca="1">'1. Bottom Up Revenue Model'!U9</f>
        <v>1000</v>
      </c>
      <c r="V9" s="21">
        <f ca="1">'1. Bottom Up Revenue Model'!V9</f>
        <v>800</v>
      </c>
      <c r="W9" s="21">
        <f ca="1">'1. Bottom Up Revenue Model'!W9</f>
        <v>1640</v>
      </c>
      <c r="X9" s="21">
        <f ca="1">'1. Bottom Up Revenue Model'!X9</f>
        <v>2920</v>
      </c>
      <c r="Y9" s="21">
        <f ca="1">'1. Bottom Up Revenue Model'!Y9</f>
        <v>2120</v>
      </c>
      <c r="Z9" s="21">
        <f ca="1">'1. Bottom Up Revenue Model'!Z9</f>
        <v>6400</v>
      </c>
      <c r="AA9" s="21">
        <f ca="1">'1. Bottom Up Revenue Model'!AA9</f>
        <v>0</v>
      </c>
      <c r="AB9" s="21">
        <f ca="1">'1. Bottom Up Revenue Model'!AB9</f>
        <v>0</v>
      </c>
      <c r="AC9" s="21">
        <f ca="1">'1. Bottom Up Revenue Model'!AC9</f>
        <v>0</v>
      </c>
      <c r="AD9" s="21">
        <f ca="1">'1. Bottom Up Revenue Model'!AD9</f>
        <v>0</v>
      </c>
    </row>
    <row r="10" spans="1:30" ht="16" thickTop="1">
      <c r="A10" s="125"/>
      <c r="B10" s="126"/>
      <c r="C10" s="19"/>
      <c r="D10" s="24"/>
      <c r="E10" s="17" t="s">
        <v>3</v>
      </c>
      <c r="F10" s="2" t="s">
        <v>22</v>
      </c>
      <c r="G10" s="111">
        <f ca="1">'1. Bottom Up Revenue Model'!G10</f>
        <v>2875</v>
      </c>
      <c r="H10" s="112">
        <f ca="1">'1. Bottom Up Revenue Model'!H10</f>
        <v>2250</v>
      </c>
      <c r="I10" s="112">
        <f ca="1">'1. Bottom Up Revenue Model'!I10</f>
        <v>1250</v>
      </c>
      <c r="J10" s="112">
        <f ca="1">'1. Bottom Up Revenue Model'!J10</f>
        <v>1250</v>
      </c>
      <c r="K10" s="112">
        <f ca="1">'1. Bottom Up Revenue Model'!K10</f>
        <v>1875</v>
      </c>
      <c r="L10" s="112">
        <f ca="1">'1. Bottom Up Revenue Model'!L10</f>
        <v>3500</v>
      </c>
      <c r="M10" s="112">
        <f ca="1">'1. Bottom Up Revenue Model'!M10</f>
        <v>2250</v>
      </c>
      <c r="N10" s="112">
        <f ca="1">'1. Bottom Up Revenue Model'!N10</f>
        <v>7125</v>
      </c>
      <c r="O10" s="112">
        <f ca="1">'1. Bottom Up Revenue Model'!O10</f>
        <v>2250</v>
      </c>
      <c r="P10" s="112">
        <f ca="1">'1. Bottom Up Revenue Model'!P10</f>
        <v>2250</v>
      </c>
      <c r="Q10" s="112">
        <f ca="1">'1. Bottom Up Revenue Model'!Q10</f>
        <v>4125</v>
      </c>
      <c r="R10" s="112">
        <f ca="1">'1. Bottom Up Revenue Model'!R10</f>
        <v>4125</v>
      </c>
      <c r="S10" s="21">
        <f ca="1">'1. Bottom Up Revenue Model'!S10</f>
        <v>5250</v>
      </c>
      <c r="T10" s="21">
        <f ca="1">'1. Bottom Up Revenue Model'!T10</f>
        <v>4500</v>
      </c>
      <c r="U10" s="21">
        <f ca="1">'1. Bottom Up Revenue Model'!U10</f>
        <v>2125</v>
      </c>
      <c r="V10" s="21">
        <f ca="1">'1. Bottom Up Revenue Model'!V10</f>
        <v>1625</v>
      </c>
      <c r="W10" s="21">
        <f ca="1">'1. Bottom Up Revenue Model'!W10</f>
        <v>3500</v>
      </c>
      <c r="X10" s="21">
        <f ca="1">'1. Bottom Up Revenue Model'!X10</f>
        <v>6000</v>
      </c>
      <c r="Y10" s="21">
        <f ca="1">'1. Bottom Up Revenue Model'!Y10</f>
        <v>4500</v>
      </c>
      <c r="Z10" s="21">
        <f ca="1">'1. Bottom Up Revenue Model'!Z10</f>
        <v>13375</v>
      </c>
      <c r="AA10" s="21">
        <f ca="1">'1. Bottom Up Revenue Model'!AA10</f>
        <v>0</v>
      </c>
      <c r="AB10" s="21">
        <f ca="1">'1. Bottom Up Revenue Model'!AB10</f>
        <v>0</v>
      </c>
      <c r="AC10" s="21">
        <f ca="1">'1. Bottom Up Revenue Model'!AC10</f>
        <v>0</v>
      </c>
      <c r="AD10" s="21">
        <f ca="1">'1. Bottom Up Revenue Model'!AD10</f>
        <v>0</v>
      </c>
    </row>
    <row r="11" spans="1:30">
      <c r="A11" s="125"/>
      <c r="B11" s="126"/>
      <c r="C11" s="37"/>
      <c r="D11" s="24"/>
      <c r="E11" s="17" t="s">
        <v>4</v>
      </c>
      <c r="F11" s="2" t="s">
        <v>22</v>
      </c>
      <c r="G11" s="111">
        <f ca="1">'1. Bottom Up Revenue Model'!G11</f>
        <v>18</v>
      </c>
      <c r="H11" s="112">
        <f ca="1">'1. Bottom Up Revenue Model'!H11</f>
        <v>18</v>
      </c>
      <c r="I11" s="112">
        <f ca="1">'1. Bottom Up Revenue Model'!I11</f>
        <v>9</v>
      </c>
      <c r="J11" s="112">
        <f ca="1">'1. Bottom Up Revenue Model'!J11</f>
        <v>9</v>
      </c>
      <c r="K11" s="112">
        <f ca="1">'1. Bottom Up Revenue Model'!K11</f>
        <v>18</v>
      </c>
      <c r="L11" s="112">
        <f ca="1">'1. Bottom Up Revenue Model'!L11</f>
        <v>27</v>
      </c>
      <c r="M11" s="112">
        <f ca="1">'1. Bottom Up Revenue Model'!M11</f>
        <v>18</v>
      </c>
      <c r="N11" s="112">
        <f ca="1">'1. Bottom Up Revenue Model'!N11</f>
        <v>51</v>
      </c>
      <c r="O11" s="112">
        <f ca="1">'1. Bottom Up Revenue Model'!O11</f>
        <v>18</v>
      </c>
      <c r="P11" s="112">
        <f ca="1">'1. Bottom Up Revenue Model'!P11</f>
        <v>18</v>
      </c>
      <c r="Q11" s="112">
        <f ca="1">'1. Bottom Up Revenue Model'!Q11</f>
        <v>27</v>
      </c>
      <c r="R11" s="112">
        <f ca="1">'1. Bottom Up Revenue Model'!R11</f>
        <v>27</v>
      </c>
      <c r="S11" s="21">
        <f ca="1">'1. Bottom Up Revenue Model'!S11</f>
        <v>38</v>
      </c>
      <c r="T11" s="21">
        <f ca="1">'1. Bottom Up Revenue Model'!T11</f>
        <v>33</v>
      </c>
      <c r="U11" s="21">
        <f ca="1">'1. Bottom Up Revenue Model'!U11</f>
        <v>15</v>
      </c>
      <c r="V11" s="21">
        <f ca="1">'1. Bottom Up Revenue Model'!V11</f>
        <v>13</v>
      </c>
      <c r="W11" s="21">
        <f ca="1">'1. Bottom Up Revenue Model'!W11</f>
        <v>25</v>
      </c>
      <c r="X11" s="21">
        <f ca="1">'1. Bottom Up Revenue Model'!X11</f>
        <v>44</v>
      </c>
      <c r="Y11" s="21">
        <f ca="1">'1. Bottom Up Revenue Model'!Y11</f>
        <v>33</v>
      </c>
      <c r="Z11" s="21">
        <f ca="1">'1. Bottom Up Revenue Model'!Z11</f>
        <v>96</v>
      </c>
      <c r="AA11" s="21">
        <f ca="1">'1. Bottom Up Revenue Model'!AA11</f>
        <v>0</v>
      </c>
      <c r="AB11" s="21">
        <f ca="1">'1. Bottom Up Revenue Model'!AB11</f>
        <v>0</v>
      </c>
      <c r="AC11" s="21">
        <f ca="1">'1. Bottom Up Revenue Model'!AC11</f>
        <v>0</v>
      </c>
      <c r="AD11" s="21">
        <f ca="1">'1. Bottom Up Revenue Model'!AD11</f>
        <v>0</v>
      </c>
    </row>
    <row r="12" spans="1:30">
      <c r="A12" s="49" t="s">
        <v>57</v>
      </c>
      <c r="B12" s="103"/>
      <c r="C12" s="38"/>
      <c r="D12" s="27"/>
      <c r="E12" s="29"/>
      <c r="F12" s="28"/>
      <c r="G12" s="28"/>
      <c r="H12" s="28"/>
      <c r="I12" s="28"/>
      <c r="J12" s="28"/>
      <c r="K12" s="28"/>
      <c r="L12" s="28"/>
      <c r="M12" s="28"/>
      <c r="N12" s="28"/>
      <c r="O12" s="28"/>
      <c r="P12" s="28"/>
      <c r="Q12" s="28"/>
      <c r="R12" s="45"/>
      <c r="S12" s="20"/>
      <c r="T12" s="20"/>
      <c r="U12" s="20"/>
      <c r="V12" s="20"/>
      <c r="W12" s="20"/>
      <c r="X12" s="20"/>
      <c r="Y12" s="20"/>
      <c r="Z12" s="20"/>
      <c r="AA12" s="20"/>
      <c r="AB12" s="20"/>
      <c r="AC12" s="20"/>
      <c r="AD12" s="20"/>
    </row>
    <row r="13" spans="1:30">
      <c r="A13" s="52" t="s">
        <v>24</v>
      </c>
      <c r="B13" s="50">
        <f ca="1">SUM(G4:R4)/SUM(G7:R7)</f>
        <v>7.9617079759253118</v>
      </c>
      <c r="C13" s="38"/>
      <c r="D13" s="24"/>
      <c r="E13" s="11" t="s">
        <v>0</v>
      </c>
      <c r="F13" s="14">
        <f ca="1">G13/G7</f>
        <v>0.33372296902396259</v>
      </c>
      <c r="G13" s="15">
        <f t="shared" ref="G13:AD13" ca="1" si="2">SUM(G14:G17)</f>
        <v>1713</v>
      </c>
      <c r="H13" s="15">
        <f t="shared" ca="1" si="2"/>
        <v>1388</v>
      </c>
      <c r="I13" s="15">
        <f t="shared" ca="1" si="2"/>
        <v>759</v>
      </c>
      <c r="J13" s="15">
        <f t="shared" ca="1" si="2"/>
        <v>659</v>
      </c>
      <c r="K13" s="15">
        <f t="shared" ca="1" si="2"/>
        <v>1153</v>
      </c>
      <c r="L13" s="15">
        <f t="shared" ca="1" si="2"/>
        <v>2047</v>
      </c>
      <c r="M13" s="15">
        <f t="shared" ca="1" si="2"/>
        <v>1388</v>
      </c>
      <c r="N13" s="15">
        <f t="shared" ca="1" si="2"/>
        <v>4416</v>
      </c>
      <c r="O13" s="15">
        <f t="shared" ca="1" si="2"/>
        <v>1388</v>
      </c>
      <c r="P13" s="15">
        <f t="shared" ca="1" si="2"/>
        <v>1388</v>
      </c>
      <c r="Q13" s="15">
        <f t="shared" ca="1" si="2"/>
        <v>2472</v>
      </c>
      <c r="R13" s="68">
        <f t="shared" ca="1" si="2"/>
        <v>2472</v>
      </c>
      <c r="S13" s="21">
        <f t="shared" ca="1" si="2"/>
        <v>3168</v>
      </c>
      <c r="T13" s="21">
        <f t="shared" ca="1" si="2"/>
        <v>2713</v>
      </c>
      <c r="U13" s="21">
        <f t="shared" ca="1" si="2"/>
        <v>1280</v>
      </c>
      <c r="V13" s="21">
        <f t="shared" ca="1" si="2"/>
        <v>998</v>
      </c>
      <c r="W13" s="21">
        <f t="shared" ca="1" si="2"/>
        <v>2105</v>
      </c>
      <c r="X13" s="21">
        <f t="shared" ca="1" si="2"/>
        <v>3664</v>
      </c>
      <c r="Y13" s="21">
        <f t="shared" ca="1" si="2"/>
        <v>2713</v>
      </c>
      <c r="Z13" s="21">
        <f t="shared" ca="1" si="2"/>
        <v>8111</v>
      </c>
      <c r="AA13" s="21">
        <f t="shared" ca="1" si="2"/>
        <v>0</v>
      </c>
      <c r="AB13" s="21">
        <f t="shared" ca="1" si="2"/>
        <v>0</v>
      </c>
      <c r="AC13" s="21">
        <f t="shared" ca="1" si="2"/>
        <v>0</v>
      </c>
      <c r="AD13" s="21">
        <f t="shared" ca="1" si="2"/>
        <v>0</v>
      </c>
    </row>
    <row r="14" spans="1:30">
      <c r="A14" s="52" t="s">
        <v>25</v>
      </c>
      <c r="B14" s="50">
        <f ca="1">SUM(G4:R4)/SUM(G13:R13)</f>
        <v>23.725462505295862</v>
      </c>
      <c r="C14" s="38"/>
      <c r="D14" s="24"/>
      <c r="E14" s="17" t="s">
        <v>1</v>
      </c>
      <c r="F14" s="65">
        <v>0.5</v>
      </c>
      <c r="G14" s="108">
        <f ca="1">F14*G8</f>
        <v>460</v>
      </c>
      <c r="H14" s="97">
        <f ca="1">$F14*H8</f>
        <v>360</v>
      </c>
      <c r="I14" s="97">
        <f t="shared" ref="I14:R14" ca="1" si="3">$F14*I8</f>
        <v>200</v>
      </c>
      <c r="J14" s="97">
        <f t="shared" ca="1" si="3"/>
        <v>200</v>
      </c>
      <c r="K14" s="97">
        <f t="shared" ca="1" si="3"/>
        <v>300</v>
      </c>
      <c r="L14" s="97">
        <f t="shared" ca="1" si="3"/>
        <v>560</v>
      </c>
      <c r="M14" s="97">
        <f t="shared" ca="1" si="3"/>
        <v>360</v>
      </c>
      <c r="N14" s="97">
        <f t="shared" ca="1" si="3"/>
        <v>1140</v>
      </c>
      <c r="O14" s="97">
        <f t="shared" ca="1" si="3"/>
        <v>360</v>
      </c>
      <c r="P14" s="97">
        <f t="shared" ca="1" si="3"/>
        <v>360</v>
      </c>
      <c r="Q14" s="97">
        <f t="shared" ca="1" si="3"/>
        <v>660</v>
      </c>
      <c r="R14" s="97">
        <f t="shared" ca="1" si="3"/>
        <v>660</v>
      </c>
      <c r="S14" s="21">
        <f t="shared" ref="S14:AD14" ca="1" si="4">$F14*S8</f>
        <v>840</v>
      </c>
      <c r="T14" s="21">
        <f t="shared" ca="1" si="4"/>
        <v>720</v>
      </c>
      <c r="U14" s="21">
        <f t="shared" ca="1" si="4"/>
        <v>340</v>
      </c>
      <c r="V14" s="21">
        <f t="shared" ca="1" si="4"/>
        <v>260</v>
      </c>
      <c r="W14" s="21">
        <f t="shared" ca="1" si="4"/>
        <v>560</v>
      </c>
      <c r="X14" s="21">
        <f t="shared" ca="1" si="4"/>
        <v>960</v>
      </c>
      <c r="Y14" s="21">
        <f t="shared" ca="1" si="4"/>
        <v>720</v>
      </c>
      <c r="Z14" s="21">
        <f t="shared" ca="1" si="4"/>
        <v>2140</v>
      </c>
      <c r="AA14" s="21">
        <f t="shared" ca="1" si="4"/>
        <v>0</v>
      </c>
      <c r="AB14" s="21">
        <f t="shared" ca="1" si="4"/>
        <v>0</v>
      </c>
      <c r="AC14" s="21">
        <f t="shared" ca="1" si="4"/>
        <v>0</v>
      </c>
      <c r="AD14" s="21">
        <f t="shared" ca="1" si="4"/>
        <v>0</v>
      </c>
    </row>
    <row r="15" spans="1:30">
      <c r="A15" s="52" t="s">
        <v>26</v>
      </c>
      <c r="B15" s="50">
        <f ca="1">SUM(G4:R4)/SUM(G19:R19)</f>
        <v>39.197386840877272</v>
      </c>
      <c r="C15" s="38"/>
      <c r="D15" s="24"/>
      <c r="E15" s="17" t="s">
        <v>2</v>
      </c>
      <c r="F15" s="65">
        <v>0.5</v>
      </c>
      <c r="G15" s="108">
        <f ca="1">F15*G9</f>
        <v>660</v>
      </c>
      <c r="H15" s="97">
        <f t="shared" ref="H15:AD15" ca="1" si="5">$F15*H9</f>
        <v>560</v>
      </c>
      <c r="I15" s="97">
        <f t="shared" ca="1" si="5"/>
        <v>300</v>
      </c>
      <c r="J15" s="97">
        <f t="shared" ca="1" si="5"/>
        <v>200</v>
      </c>
      <c r="K15" s="97">
        <f t="shared" ca="1" si="5"/>
        <v>460</v>
      </c>
      <c r="L15" s="97">
        <f t="shared" ca="1" si="5"/>
        <v>760</v>
      </c>
      <c r="M15" s="97">
        <f t="shared" ca="1" si="5"/>
        <v>560</v>
      </c>
      <c r="N15" s="97">
        <f t="shared" ca="1" si="5"/>
        <v>1800</v>
      </c>
      <c r="O15" s="97">
        <f t="shared" ca="1" si="5"/>
        <v>560</v>
      </c>
      <c r="P15" s="97">
        <f t="shared" ca="1" si="5"/>
        <v>560</v>
      </c>
      <c r="Q15" s="97">
        <f t="shared" ca="1" si="5"/>
        <v>960</v>
      </c>
      <c r="R15" s="97">
        <f t="shared" ca="1" si="5"/>
        <v>960</v>
      </c>
      <c r="S15" s="21">
        <f t="shared" ca="1" si="5"/>
        <v>1240</v>
      </c>
      <c r="T15" s="21">
        <f t="shared" ca="1" si="5"/>
        <v>1060</v>
      </c>
      <c r="U15" s="21">
        <f t="shared" ca="1" si="5"/>
        <v>500</v>
      </c>
      <c r="V15" s="21">
        <f t="shared" ca="1" si="5"/>
        <v>400</v>
      </c>
      <c r="W15" s="21">
        <f t="shared" ca="1" si="5"/>
        <v>820</v>
      </c>
      <c r="X15" s="21">
        <f t="shared" ca="1" si="5"/>
        <v>1460</v>
      </c>
      <c r="Y15" s="21">
        <f t="shared" ca="1" si="5"/>
        <v>1060</v>
      </c>
      <c r="Z15" s="21">
        <f t="shared" ca="1" si="5"/>
        <v>3200</v>
      </c>
      <c r="AA15" s="21">
        <f t="shared" ca="1" si="5"/>
        <v>0</v>
      </c>
      <c r="AB15" s="21">
        <f t="shared" ca="1" si="5"/>
        <v>0</v>
      </c>
      <c r="AC15" s="21">
        <f t="shared" ca="1" si="5"/>
        <v>0</v>
      </c>
      <c r="AD15" s="21">
        <f t="shared" ca="1" si="5"/>
        <v>0</v>
      </c>
    </row>
    <row r="16" spans="1:30">
      <c r="A16" s="52" t="s">
        <v>27</v>
      </c>
      <c r="B16" s="50">
        <f ca="1">SUM(G4:R4)/SUM(G32:R32)</f>
        <v>683.85345997286299</v>
      </c>
      <c r="C16" s="38"/>
      <c r="D16" s="24"/>
      <c r="E16" s="17" t="s">
        <v>3</v>
      </c>
      <c r="F16" s="65">
        <v>0.2</v>
      </c>
      <c r="G16" s="108">
        <f ca="1">F16*G10</f>
        <v>575</v>
      </c>
      <c r="H16" s="97">
        <f t="shared" ref="H16:AD16" ca="1" si="6">$F16*H10</f>
        <v>450</v>
      </c>
      <c r="I16" s="97">
        <f t="shared" ca="1" si="6"/>
        <v>250</v>
      </c>
      <c r="J16" s="97">
        <f t="shared" ca="1" si="6"/>
        <v>250</v>
      </c>
      <c r="K16" s="97">
        <f t="shared" ca="1" si="6"/>
        <v>375</v>
      </c>
      <c r="L16" s="97">
        <f t="shared" ca="1" si="6"/>
        <v>700</v>
      </c>
      <c r="M16" s="97">
        <f t="shared" ca="1" si="6"/>
        <v>450</v>
      </c>
      <c r="N16" s="97">
        <f t="shared" ca="1" si="6"/>
        <v>1425</v>
      </c>
      <c r="O16" s="97">
        <f t="shared" ca="1" si="6"/>
        <v>450</v>
      </c>
      <c r="P16" s="97">
        <f t="shared" ca="1" si="6"/>
        <v>450</v>
      </c>
      <c r="Q16" s="97">
        <f t="shared" ca="1" si="6"/>
        <v>825</v>
      </c>
      <c r="R16" s="97">
        <f t="shared" ca="1" si="6"/>
        <v>825</v>
      </c>
      <c r="S16" s="21">
        <f t="shared" ca="1" si="6"/>
        <v>1050</v>
      </c>
      <c r="T16" s="21">
        <f t="shared" ca="1" si="6"/>
        <v>900</v>
      </c>
      <c r="U16" s="21">
        <f t="shared" ca="1" si="6"/>
        <v>425</v>
      </c>
      <c r="V16" s="21">
        <f t="shared" ca="1" si="6"/>
        <v>325</v>
      </c>
      <c r="W16" s="21">
        <f t="shared" ca="1" si="6"/>
        <v>700</v>
      </c>
      <c r="X16" s="21">
        <f t="shared" ca="1" si="6"/>
        <v>1200</v>
      </c>
      <c r="Y16" s="21">
        <f t="shared" ca="1" si="6"/>
        <v>900</v>
      </c>
      <c r="Z16" s="21">
        <f t="shared" ca="1" si="6"/>
        <v>2675</v>
      </c>
      <c r="AA16" s="21">
        <f t="shared" ca="1" si="6"/>
        <v>0</v>
      </c>
      <c r="AB16" s="21">
        <f t="shared" ca="1" si="6"/>
        <v>0</v>
      </c>
      <c r="AC16" s="21">
        <f t="shared" ca="1" si="6"/>
        <v>0</v>
      </c>
      <c r="AD16" s="21">
        <f t="shared" ca="1" si="6"/>
        <v>0</v>
      </c>
    </row>
    <row r="17" spans="1:30">
      <c r="A17" s="53" t="s">
        <v>28</v>
      </c>
      <c r="B17" s="51">
        <f ca="1">SUM(G4:R4)/SUM(G46:R46)</f>
        <v>2029.3940004026581</v>
      </c>
      <c r="C17" s="38"/>
      <c r="D17" s="24"/>
      <c r="E17" s="17" t="s">
        <v>4</v>
      </c>
      <c r="F17" s="65">
        <v>1</v>
      </c>
      <c r="G17" s="108">
        <f ca="1">F17*G11</f>
        <v>18</v>
      </c>
      <c r="H17" s="97">
        <f t="shared" ref="H17:AD17" ca="1" si="7">$F17*H11</f>
        <v>18</v>
      </c>
      <c r="I17" s="97">
        <f t="shared" ca="1" si="7"/>
        <v>9</v>
      </c>
      <c r="J17" s="97">
        <f t="shared" ca="1" si="7"/>
        <v>9</v>
      </c>
      <c r="K17" s="97">
        <f t="shared" ca="1" si="7"/>
        <v>18</v>
      </c>
      <c r="L17" s="97">
        <f t="shared" ca="1" si="7"/>
        <v>27</v>
      </c>
      <c r="M17" s="97">
        <f t="shared" ca="1" si="7"/>
        <v>18</v>
      </c>
      <c r="N17" s="97">
        <f t="shared" ca="1" si="7"/>
        <v>51</v>
      </c>
      <c r="O17" s="97">
        <f t="shared" ca="1" si="7"/>
        <v>18</v>
      </c>
      <c r="P17" s="97">
        <f t="shared" ca="1" si="7"/>
        <v>18</v>
      </c>
      <c r="Q17" s="97">
        <f t="shared" ca="1" si="7"/>
        <v>27</v>
      </c>
      <c r="R17" s="97">
        <f t="shared" ca="1" si="7"/>
        <v>27</v>
      </c>
      <c r="S17" s="21">
        <f t="shared" ca="1" si="7"/>
        <v>38</v>
      </c>
      <c r="T17" s="21">
        <f t="shared" ca="1" si="7"/>
        <v>33</v>
      </c>
      <c r="U17" s="21">
        <f t="shared" ca="1" si="7"/>
        <v>15</v>
      </c>
      <c r="V17" s="21">
        <f t="shared" ca="1" si="7"/>
        <v>13</v>
      </c>
      <c r="W17" s="21">
        <f t="shared" ca="1" si="7"/>
        <v>25</v>
      </c>
      <c r="X17" s="21">
        <f t="shared" ca="1" si="7"/>
        <v>44</v>
      </c>
      <c r="Y17" s="21">
        <f t="shared" ca="1" si="7"/>
        <v>33</v>
      </c>
      <c r="Z17" s="21">
        <f t="shared" ca="1" si="7"/>
        <v>96</v>
      </c>
      <c r="AA17" s="21">
        <f t="shared" ca="1" si="7"/>
        <v>0</v>
      </c>
      <c r="AB17" s="21">
        <f t="shared" ca="1" si="7"/>
        <v>0</v>
      </c>
      <c r="AC17" s="21">
        <f t="shared" ca="1" si="7"/>
        <v>0</v>
      </c>
      <c r="AD17" s="21">
        <f t="shared" ca="1" si="7"/>
        <v>0</v>
      </c>
    </row>
    <row r="18" spans="1:30">
      <c r="C18" s="19"/>
      <c r="D18" s="27"/>
      <c r="E18" s="29"/>
      <c r="F18" s="30"/>
      <c r="G18" s="28"/>
      <c r="H18" s="28"/>
      <c r="I18" s="28"/>
      <c r="J18" s="28"/>
      <c r="K18" s="28"/>
      <c r="L18" s="28"/>
      <c r="M18" s="28"/>
      <c r="N18" s="28"/>
      <c r="O18" s="28"/>
      <c r="P18" s="28"/>
      <c r="Q18" s="28"/>
      <c r="R18" s="45"/>
      <c r="S18" s="20"/>
      <c r="T18" s="20"/>
      <c r="U18" s="20"/>
      <c r="V18" s="20"/>
      <c r="W18" s="20"/>
      <c r="X18" s="20"/>
      <c r="Y18" s="20"/>
      <c r="Z18" s="20"/>
      <c r="AA18" s="20"/>
      <c r="AB18" s="20"/>
      <c r="AC18" s="20"/>
      <c r="AD18" s="20"/>
    </row>
    <row r="19" spans="1:30">
      <c r="A19" s="104" t="s">
        <v>61</v>
      </c>
      <c r="B19" s="105"/>
      <c r="C19" s="39"/>
      <c r="D19" s="24"/>
      <c r="E19" s="11" t="s">
        <v>6</v>
      </c>
      <c r="F19" s="14">
        <f ca="1">G19/G13</f>
        <v>0.60595446584938706</v>
      </c>
      <c r="G19" s="15">
        <f ca="1">SUM(G20:G23)</f>
        <v>1038</v>
      </c>
      <c r="H19" s="15">
        <f t="shared" ref="H19:AD19" ca="1" si="8">SUM(H20:H23)</f>
        <v>838</v>
      </c>
      <c r="I19" s="15">
        <f t="shared" ca="1" si="8"/>
        <v>459</v>
      </c>
      <c r="J19" s="15">
        <f t="shared" ca="1" si="8"/>
        <v>409</v>
      </c>
      <c r="K19" s="15">
        <f t="shared" ca="1" si="8"/>
        <v>698</v>
      </c>
      <c r="L19" s="15">
        <f t="shared" ca="1" si="8"/>
        <v>1247</v>
      </c>
      <c r="M19" s="15">
        <f t="shared" ca="1" si="8"/>
        <v>838</v>
      </c>
      <c r="N19" s="15">
        <f t="shared" ca="1" si="8"/>
        <v>2661</v>
      </c>
      <c r="O19" s="15">
        <f t="shared" ca="1" si="8"/>
        <v>838</v>
      </c>
      <c r="P19" s="15">
        <f t="shared" ca="1" si="8"/>
        <v>838</v>
      </c>
      <c r="Q19" s="15">
        <f t="shared" ca="1" si="8"/>
        <v>1497</v>
      </c>
      <c r="R19" s="68">
        <f t="shared" ca="1" si="8"/>
        <v>1497</v>
      </c>
      <c r="S19" s="21">
        <f t="shared" ca="1" si="8"/>
        <v>1918</v>
      </c>
      <c r="T19" s="21">
        <f t="shared" ca="1" si="8"/>
        <v>1643</v>
      </c>
      <c r="U19" s="21">
        <f t="shared" ca="1" si="8"/>
        <v>775</v>
      </c>
      <c r="V19" s="21">
        <f t="shared" ca="1" si="8"/>
        <v>603</v>
      </c>
      <c r="W19" s="21">
        <f t="shared" ca="1" si="8"/>
        <v>1275</v>
      </c>
      <c r="X19" s="21">
        <f t="shared" ca="1" si="8"/>
        <v>2214</v>
      </c>
      <c r="Y19" s="21">
        <f t="shared" ca="1" si="8"/>
        <v>1643</v>
      </c>
      <c r="Z19" s="21">
        <f t="shared" ca="1" si="8"/>
        <v>4906</v>
      </c>
      <c r="AA19" s="21">
        <f t="shared" ca="1" si="8"/>
        <v>0</v>
      </c>
      <c r="AB19" s="21">
        <f t="shared" ca="1" si="8"/>
        <v>0</v>
      </c>
      <c r="AC19" s="21">
        <f t="shared" ca="1" si="8"/>
        <v>0</v>
      </c>
      <c r="AD19" s="21">
        <f t="shared" ca="1" si="8"/>
        <v>0</v>
      </c>
    </row>
    <row r="20" spans="1:30">
      <c r="A20" s="92" t="str">
        <f>E7</f>
        <v>New Names</v>
      </c>
      <c r="B20" s="96">
        <f ca="1">SUM(G7:R7)</f>
        <v>63303</v>
      </c>
      <c r="C20" s="40"/>
      <c r="D20" s="24"/>
      <c r="E20" s="17" t="s">
        <v>1</v>
      </c>
      <c r="F20" s="65">
        <v>0.5</v>
      </c>
      <c r="G20" s="108">
        <f ca="1">F20*G14</f>
        <v>230</v>
      </c>
      <c r="H20" s="97">
        <f t="shared" ref="H20:R20" ca="1" si="9">$F20*H14</f>
        <v>180</v>
      </c>
      <c r="I20" s="97">
        <f t="shared" ca="1" si="9"/>
        <v>100</v>
      </c>
      <c r="J20" s="97">
        <f t="shared" ca="1" si="9"/>
        <v>100</v>
      </c>
      <c r="K20" s="97">
        <f t="shared" ca="1" si="9"/>
        <v>150</v>
      </c>
      <c r="L20" s="97">
        <f t="shared" ca="1" si="9"/>
        <v>280</v>
      </c>
      <c r="M20" s="97">
        <f t="shared" ca="1" si="9"/>
        <v>180</v>
      </c>
      <c r="N20" s="97">
        <f t="shared" ca="1" si="9"/>
        <v>570</v>
      </c>
      <c r="O20" s="97">
        <f t="shared" ca="1" si="9"/>
        <v>180</v>
      </c>
      <c r="P20" s="97">
        <f t="shared" ca="1" si="9"/>
        <v>180</v>
      </c>
      <c r="Q20" s="97">
        <f t="shared" ca="1" si="9"/>
        <v>330</v>
      </c>
      <c r="R20" s="97">
        <f t="shared" ca="1" si="9"/>
        <v>330</v>
      </c>
      <c r="S20" s="21">
        <f t="shared" ref="S20:AD20" ca="1" si="10">$F20*S14</f>
        <v>420</v>
      </c>
      <c r="T20" s="21">
        <f t="shared" ca="1" si="10"/>
        <v>360</v>
      </c>
      <c r="U20" s="21">
        <f t="shared" ca="1" si="10"/>
        <v>170</v>
      </c>
      <c r="V20" s="21">
        <f t="shared" ca="1" si="10"/>
        <v>130</v>
      </c>
      <c r="W20" s="21">
        <f t="shared" ca="1" si="10"/>
        <v>280</v>
      </c>
      <c r="X20" s="21">
        <f t="shared" ca="1" si="10"/>
        <v>480</v>
      </c>
      <c r="Y20" s="21">
        <f t="shared" ca="1" si="10"/>
        <v>360</v>
      </c>
      <c r="Z20" s="21">
        <f t="shared" ca="1" si="10"/>
        <v>1070</v>
      </c>
      <c r="AA20" s="21">
        <f t="shared" ca="1" si="10"/>
        <v>0</v>
      </c>
      <c r="AB20" s="21">
        <f t="shared" ca="1" si="10"/>
        <v>0</v>
      </c>
      <c r="AC20" s="21">
        <f t="shared" ca="1" si="10"/>
        <v>0</v>
      </c>
      <c r="AD20" s="21">
        <f t="shared" ca="1" si="10"/>
        <v>0</v>
      </c>
    </row>
    <row r="21" spans="1:30">
      <c r="A21" s="92" t="str">
        <f>E13</f>
        <v>Prospects</v>
      </c>
      <c r="B21" s="96">
        <f ca="1">SUM(G13:R13)</f>
        <v>21243</v>
      </c>
      <c r="C21" s="40"/>
      <c r="D21" s="24"/>
      <c r="E21" s="17" t="s">
        <v>2</v>
      </c>
      <c r="F21" s="65">
        <v>0.5</v>
      </c>
      <c r="G21" s="108">
        <f ca="1">F21*G15</f>
        <v>330</v>
      </c>
      <c r="H21" s="97">
        <f t="shared" ref="H21:AD21" ca="1" si="11">$F21*H15</f>
        <v>280</v>
      </c>
      <c r="I21" s="97">
        <f t="shared" ca="1" si="11"/>
        <v>150</v>
      </c>
      <c r="J21" s="97">
        <f t="shared" ca="1" si="11"/>
        <v>100</v>
      </c>
      <c r="K21" s="97">
        <f t="shared" ca="1" si="11"/>
        <v>230</v>
      </c>
      <c r="L21" s="97">
        <f t="shared" ca="1" si="11"/>
        <v>380</v>
      </c>
      <c r="M21" s="97">
        <f t="shared" ca="1" si="11"/>
        <v>280</v>
      </c>
      <c r="N21" s="97">
        <f t="shared" ca="1" si="11"/>
        <v>900</v>
      </c>
      <c r="O21" s="97">
        <f t="shared" ca="1" si="11"/>
        <v>280</v>
      </c>
      <c r="P21" s="97">
        <f t="shared" ca="1" si="11"/>
        <v>280</v>
      </c>
      <c r="Q21" s="97">
        <f t="shared" ca="1" si="11"/>
        <v>480</v>
      </c>
      <c r="R21" s="97">
        <f t="shared" ca="1" si="11"/>
        <v>480</v>
      </c>
      <c r="S21" s="21">
        <f t="shared" ca="1" si="11"/>
        <v>620</v>
      </c>
      <c r="T21" s="21">
        <f t="shared" ca="1" si="11"/>
        <v>530</v>
      </c>
      <c r="U21" s="21">
        <f t="shared" ca="1" si="11"/>
        <v>250</v>
      </c>
      <c r="V21" s="21">
        <f t="shared" ca="1" si="11"/>
        <v>200</v>
      </c>
      <c r="W21" s="21">
        <f t="shared" ca="1" si="11"/>
        <v>410</v>
      </c>
      <c r="X21" s="21">
        <f t="shared" ca="1" si="11"/>
        <v>730</v>
      </c>
      <c r="Y21" s="21">
        <f t="shared" ca="1" si="11"/>
        <v>530</v>
      </c>
      <c r="Z21" s="21">
        <f t="shared" ca="1" si="11"/>
        <v>1600</v>
      </c>
      <c r="AA21" s="21">
        <f t="shared" ca="1" si="11"/>
        <v>0</v>
      </c>
      <c r="AB21" s="21">
        <f t="shared" ca="1" si="11"/>
        <v>0</v>
      </c>
      <c r="AC21" s="21">
        <f t="shared" ca="1" si="11"/>
        <v>0</v>
      </c>
      <c r="AD21" s="21">
        <f t="shared" ca="1" si="11"/>
        <v>0</v>
      </c>
    </row>
    <row r="22" spans="1:30">
      <c r="A22" s="92" t="str">
        <f>E19</f>
        <v>MQLs (Assigned to SDR)</v>
      </c>
      <c r="B22" s="96">
        <f ca="1">SUM(G19:R19)</f>
        <v>12858</v>
      </c>
      <c r="C22" s="19"/>
      <c r="D22" s="24"/>
      <c r="E22" s="17" t="s">
        <v>3</v>
      </c>
      <c r="F22" s="65">
        <v>0.8</v>
      </c>
      <c r="G22" s="108">
        <f ca="1">F22*G16</f>
        <v>460</v>
      </c>
      <c r="H22" s="97">
        <f t="shared" ref="H22:AD22" ca="1" si="12">$F22*H16</f>
        <v>360</v>
      </c>
      <c r="I22" s="97">
        <f t="shared" ca="1" si="12"/>
        <v>200</v>
      </c>
      <c r="J22" s="97">
        <f t="shared" ca="1" si="12"/>
        <v>200</v>
      </c>
      <c r="K22" s="97">
        <f t="shared" ca="1" si="12"/>
        <v>300</v>
      </c>
      <c r="L22" s="97">
        <f t="shared" ca="1" si="12"/>
        <v>560</v>
      </c>
      <c r="M22" s="97">
        <f t="shared" ca="1" si="12"/>
        <v>360</v>
      </c>
      <c r="N22" s="97">
        <f t="shared" ca="1" si="12"/>
        <v>1140</v>
      </c>
      <c r="O22" s="97">
        <f t="shared" ca="1" si="12"/>
        <v>360</v>
      </c>
      <c r="P22" s="97">
        <f t="shared" ca="1" si="12"/>
        <v>360</v>
      </c>
      <c r="Q22" s="97">
        <f t="shared" ca="1" si="12"/>
        <v>660</v>
      </c>
      <c r="R22" s="97">
        <f t="shared" ca="1" si="12"/>
        <v>660</v>
      </c>
      <c r="S22" s="21">
        <f t="shared" ca="1" si="12"/>
        <v>840</v>
      </c>
      <c r="T22" s="21">
        <f t="shared" ca="1" si="12"/>
        <v>720</v>
      </c>
      <c r="U22" s="21">
        <f t="shared" ca="1" si="12"/>
        <v>340</v>
      </c>
      <c r="V22" s="21">
        <f t="shared" ca="1" si="12"/>
        <v>260</v>
      </c>
      <c r="W22" s="21">
        <f t="shared" ca="1" si="12"/>
        <v>560</v>
      </c>
      <c r="X22" s="21">
        <f t="shared" ca="1" si="12"/>
        <v>960</v>
      </c>
      <c r="Y22" s="21">
        <f t="shared" ca="1" si="12"/>
        <v>720</v>
      </c>
      <c r="Z22" s="21">
        <f t="shared" ca="1" si="12"/>
        <v>2140</v>
      </c>
      <c r="AA22" s="21">
        <f t="shared" ca="1" si="12"/>
        <v>0</v>
      </c>
      <c r="AB22" s="21">
        <f t="shared" ca="1" si="12"/>
        <v>0</v>
      </c>
      <c r="AC22" s="21">
        <f t="shared" ca="1" si="12"/>
        <v>0</v>
      </c>
      <c r="AD22" s="21">
        <f t="shared" ca="1" si="12"/>
        <v>0</v>
      </c>
    </row>
    <row r="23" spans="1:30">
      <c r="A23" s="93" t="str">
        <f>E25</f>
        <v>SQLs (SDR Qual'd)</v>
      </c>
      <c r="B23" s="94">
        <f ca="1">SUM(G25:R25)</f>
        <v>1401.8999999999999</v>
      </c>
      <c r="C23" s="34"/>
      <c r="D23" s="24"/>
      <c r="E23" s="17" t="s">
        <v>4</v>
      </c>
      <c r="F23" s="65">
        <v>1</v>
      </c>
      <c r="G23" s="108">
        <f ca="1">F23*G17</f>
        <v>18</v>
      </c>
      <c r="H23" s="97">
        <f t="shared" ref="H23:AD23" ca="1" si="13">$F23*H17</f>
        <v>18</v>
      </c>
      <c r="I23" s="97">
        <f t="shared" ca="1" si="13"/>
        <v>9</v>
      </c>
      <c r="J23" s="97">
        <f t="shared" ca="1" si="13"/>
        <v>9</v>
      </c>
      <c r="K23" s="97">
        <f t="shared" ca="1" si="13"/>
        <v>18</v>
      </c>
      <c r="L23" s="97">
        <f t="shared" ca="1" si="13"/>
        <v>27</v>
      </c>
      <c r="M23" s="97">
        <f t="shared" ca="1" si="13"/>
        <v>18</v>
      </c>
      <c r="N23" s="97">
        <f t="shared" ca="1" si="13"/>
        <v>51</v>
      </c>
      <c r="O23" s="97">
        <f t="shared" ca="1" si="13"/>
        <v>18</v>
      </c>
      <c r="P23" s="97">
        <f t="shared" ca="1" si="13"/>
        <v>18</v>
      </c>
      <c r="Q23" s="97">
        <f t="shared" ca="1" si="13"/>
        <v>27</v>
      </c>
      <c r="R23" s="97">
        <f t="shared" ca="1" si="13"/>
        <v>27</v>
      </c>
      <c r="S23" s="21">
        <f t="shared" ca="1" si="13"/>
        <v>38</v>
      </c>
      <c r="T23" s="21">
        <f t="shared" ca="1" si="13"/>
        <v>33</v>
      </c>
      <c r="U23" s="21">
        <f t="shared" ca="1" si="13"/>
        <v>15</v>
      </c>
      <c r="V23" s="21">
        <f t="shared" ca="1" si="13"/>
        <v>13</v>
      </c>
      <c r="W23" s="21">
        <f t="shared" ca="1" si="13"/>
        <v>25</v>
      </c>
      <c r="X23" s="21">
        <f t="shared" ca="1" si="13"/>
        <v>44</v>
      </c>
      <c r="Y23" s="21">
        <f t="shared" ca="1" si="13"/>
        <v>33</v>
      </c>
      <c r="Z23" s="21">
        <f t="shared" ca="1" si="13"/>
        <v>96</v>
      </c>
      <c r="AA23" s="21">
        <f t="shared" ca="1" si="13"/>
        <v>0</v>
      </c>
      <c r="AB23" s="21">
        <f t="shared" ca="1" si="13"/>
        <v>0</v>
      </c>
      <c r="AC23" s="21">
        <f t="shared" ca="1" si="13"/>
        <v>0</v>
      </c>
      <c r="AD23" s="21">
        <f t="shared" ca="1" si="13"/>
        <v>0</v>
      </c>
    </row>
    <row r="24" spans="1:30">
      <c r="A24" s="93" t="str">
        <f>E32</f>
        <v>SALs (Opp #)</v>
      </c>
      <c r="B24" s="94">
        <f ca="1">SUM(G32:R32)</f>
        <v>737</v>
      </c>
      <c r="C24" s="19"/>
      <c r="D24" s="27"/>
      <c r="E24" s="29"/>
      <c r="F24" s="30"/>
      <c r="G24" s="28"/>
      <c r="H24" s="28"/>
      <c r="I24" s="28"/>
      <c r="J24" s="28"/>
      <c r="K24" s="28"/>
      <c r="L24" s="28"/>
      <c r="M24" s="28"/>
      <c r="N24" s="28"/>
      <c r="O24" s="28"/>
      <c r="P24" s="28"/>
      <c r="Q24" s="28"/>
      <c r="R24" s="45"/>
      <c r="S24" s="20"/>
      <c r="T24" s="20"/>
      <c r="U24" s="20"/>
      <c r="V24" s="20"/>
      <c r="W24" s="20"/>
      <c r="X24" s="20"/>
      <c r="Y24" s="20"/>
      <c r="Z24" s="20"/>
      <c r="AA24" s="20"/>
      <c r="AB24" s="20"/>
      <c r="AC24" s="20"/>
      <c r="AD24" s="20"/>
    </row>
    <row r="25" spans="1:30">
      <c r="A25" s="93" t="str">
        <f>E39</f>
        <v>SALs (Pipeline $)</v>
      </c>
      <c r="B25" s="95">
        <f ca="1">SUM(G39:R39)</f>
        <v>14740000</v>
      </c>
      <c r="C25" s="19"/>
      <c r="D25" s="24"/>
      <c r="E25" s="11" t="s">
        <v>33</v>
      </c>
      <c r="F25" s="14">
        <f ca="1">G25/G19</f>
        <v>0.10780346820809249</v>
      </c>
      <c r="G25" s="15">
        <f ca="1">SUM(G26:G30)</f>
        <v>111.9</v>
      </c>
      <c r="H25" s="15">
        <f t="shared" ref="H25:AD25" ca="1" si="14">SUM(H26:H30)</f>
        <v>91.9</v>
      </c>
      <c r="I25" s="15">
        <f t="shared" ca="1" si="14"/>
        <v>49.95</v>
      </c>
      <c r="J25" s="15">
        <f t="shared" ca="1" si="14"/>
        <v>44.95</v>
      </c>
      <c r="K25" s="15">
        <f t="shared" ca="1" si="14"/>
        <v>77.900000000000006</v>
      </c>
      <c r="L25" s="15">
        <f t="shared" ca="1" si="14"/>
        <v>136.85</v>
      </c>
      <c r="M25" s="15">
        <f t="shared" ca="1" si="14"/>
        <v>91.9</v>
      </c>
      <c r="N25" s="15">
        <f t="shared" ca="1" si="14"/>
        <v>289.05</v>
      </c>
      <c r="O25" s="15">
        <f t="shared" ca="1" si="14"/>
        <v>91.9</v>
      </c>
      <c r="P25" s="15">
        <f t="shared" ca="1" si="14"/>
        <v>91.9</v>
      </c>
      <c r="Q25" s="15">
        <f t="shared" ca="1" si="14"/>
        <v>161.85</v>
      </c>
      <c r="R25" s="15">
        <f t="shared" ca="1" si="14"/>
        <v>161.85</v>
      </c>
      <c r="S25" s="21">
        <f t="shared" ca="1" si="14"/>
        <v>208.9</v>
      </c>
      <c r="T25" s="21">
        <f t="shared" ca="1" si="14"/>
        <v>179.15</v>
      </c>
      <c r="U25" s="21">
        <f t="shared" ca="1" si="14"/>
        <v>84.25</v>
      </c>
      <c r="V25" s="21">
        <f t="shared" ca="1" si="14"/>
        <v>66.150000000000006</v>
      </c>
      <c r="W25" s="21">
        <f t="shared" ca="1" si="14"/>
        <v>138.75</v>
      </c>
      <c r="X25" s="21">
        <f t="shared" ca="1" si="14"/>
        <v>241.2</v>
      </c>
      <c r="Y25" s="21">
        <f t="shared" ca="1" si="14"/>
        <v>179.15</v>
      </c>
      <c r="Z25" s="21">
        <f t="shared" ca="1" si="14"/>
        <v>533.79999999999995</v>
      </c>
      <c r="AA25" s="21">
        <f t="shared" ca="1" si="14"/>
        <v>0</v>
      </c>
      <c r="AB25" s="21">
        <f t="shared" ca="1" si="14"/>
        <v>0</v>
      </c>
      <c r="AC25" s="21">
        <f t="shared" ca="1" si="14"/>
        <v>0</v>
      </c>
      <c r="AD25" s="21">
        <f t="shared" ca="1" si="14"/>
        <v>0</v>
      </c>
    </row>
    <row r="26" spans="1:30">
      <c r="A26" s="93" t="str">
        <f>E46</f>
        <v>Closed Won - # of Deals</v>
      </c>
      <c r="B26" s="94">
        <f ca="1">SUM(G46:R46)</f>
        <v>248.34999999999994</v>
      </c>
      <c r="C26" s="41"/>
      <c r="D26" s="24"/>
      <c r="E26" s="17" t="s">
        <v>1</v>
      </c>
      <c r="F26" s="65">
        <v>0.1</v>
      </c>
      <c r="G26" s="108">
        <f ca="1">F26*G20</f>
        <v>23</v>
      </c>
      <c r="H26" s="97">
        <f t="shared" ref="H26:R26" ca="1" si="15">$F26*H20</f>
        <v>18</v>
      </c>
      <c r="I26" s="97">
        <f t="shared" ca="1" si="15"/>
        <v>10</v>
      </c>
      <c r="J26" s="97">
        <f t="shared" ca="1" si="15"/>
        <v>10</v>
      </c>
      <c r="K26" s="97">
        <f t="shared" ca="1" si="15"/>
        <v>15</v>
      </c>
      <c r="L26" s="97">
        <f t="shared" ca="1" si="15"/>
        <v>28</v>
      </c>
      <c r="M26" s="97">
        <f t="shared" ca="1" si="15"/>
        <v>18</v>
      </c>
      <c r="N26" s="97">
        <f t="shared" ca="1" si="15"/>
        <v>57</v>
      </c>
      <c r="O26" s="97">
        <f t="shared" ca="1" si="15"/>
        <v>18</v>
      </c>
      <c r="P26" s="97">
        <f t="shared" ca="1" si="15"/>
        <v>18</v>
      </c>
      <c r="Q26" s="97">
        <f t="shared" ca="1" si="15"/>
        <v>33</v>
      </c>
      <c r="R26" s="97">
        <f t="shared" ca="1" si="15"/>
        <v>33</v>
      </c>
      <c r="S26" s="21">
        <f t="shared" ref="S26:AD26" ca="1" si="16">$F26*S20</f>
        <v>42</v>
      </c>
      <c r="T26" s="21">
        <f t="shared" ca="1" si="16"/>
        <v>36</v>
      </c>
      <c r="U26" s="21">
        <f t="shared" ca="1" si="16"/>
        <v>17</v>
      </c>
      <c r="V26" s="21">
        <f t="shared" ca="1" si="16"/>
        <v>13</v>
      </c>
      <c r="W26" s="21">
        <f t="shared" ca="1" si="16"/>
        <v>28</v>
      </c>
      <c r="X26" s="21">
        <f t="shared" ca="1" si="16"/>
        <v>48</v>
      </c>
      <c r="Y26" s="21">
        <f t="shared" ca="1" si="16"/>
        <v>36</v>
      </c>
      <c r="Z26" s="21">
        <f t="shared" ca="1" si="16"/>
        <v>107</v>
      </c>
      <c r="AA26" s="21">
        <f t="shared" ca="1" si="16"/>
        <v>0</v>
      </c>
      <c r="AB26" s="21">
        <f t="shared" ca="1" si="16"/>
        <v>0</v>
      </c>
      <c r="AC26" s="21">
        <f t="shared" ca="1" si="16"/>
        <v>0</v>
      </c>
      <c r="AD26" s="21">
        <f t="shared" ca="1" si="16"/>
        <v>0</v>
      </c>
    </row>
    <row r="27" spans="1:30">
      <c r="A27" s="101" t="str">
        <f>E53</f>
        <v>Closed Won - $</v>
      </c>
      <c r="B27" s="102">
        <f ca="1">ROUND(SUM(G53:R53),'1. Bottom Up Revenue Model'!A86)</f>
        <v>4967000</v>
      </c>
      <c r="C27" s="41"/>
      <c r="D27" s="24"/>
      <c r="E27" s="17" t="s">
        <v>2</v>
      </c>
      <c r="F27" s="65">
        <v>0.1</v>
      </c>
      <c r="G27" s="108">
        <f ca="1">F27*G21</f>
        <v>33</v>
      </c>
      <c r="H27" s="97">
        <f t="shared" ref="H27:AD27" ca="1" si="17">$F27*H21</f>
        <v>28</v>
      </c>
      <c r="I27" s="97">
        <f t="shared" ca="1" si="17"/>
        <v>15</v>
      </c>
      <c r="J27" s="97">
        <f t="shared" ca="1" si="17"/>
        <v>10</v>
      </c>
      <c r="K27" s="97">
        <f t="shared" ca="1" si="17"/>
        <v>23</v>
      </c>
      <c r="L27" s="97">
        <f t="shared" ca="1" si="17"/>
        <v>38</v>
      </c>
      <c r="M27" s="97">
        <f t="shared" ca="1" si="17"/>
        <v>28</v>
      </c>
      <c r="N27" s="97">
        <f t="shared" ca="1" si="17"/>
        <v>90</v>
      </c>
      <c r="O27" s="97">
        <f t="shared" ca="1" si="17"/>
        <v>28</v>
      </c>
      <c r="P27" s="97">
        <f t="shared" ca="1" si="17"/>
        <v>28</v>
      </c>
      <c r="Q27" s="97">
        <f t="shared" ca="1" si="17"/>
        <v>48</v>
      </c>
      <c r="R27" s="97">
        <f t="shared" ca="1" si="17"/>
        <v>48</v>
      </c>
      <c r="S27" s="21">
        <f t="shared" ca="1" si="17"/>
        <v>62</v>
      </c>
      <c r="T27" s="21">
        <f t="shared" ca="1" si="17"/>
        <v>53</v>
      </c>
      <c r="U27" s="21">
        <f t="shared" ca="1" si="17"/>
        <v>25</v>
      </c>
      <c r="V27" s="21">
        <f t="shared" ca="1" si="17"/>
        <v>20</v>
      </c>
      <c r="W27" s="21">
        <f t="shared" ca="1" si="17"/>
        <v>41</v>
      </c>
      <c r="X27" s="21">
        <f t="shared" ca="1" si="17"/>
        <v>73</v>
      </c>
      <c r="Y27" s="21">
        <f t="shared" ca="1" si="17"/>
        <v>53</v>
      </c>
      <c r="Z27" s="21">
        <f t="shared" ca="1" si="17"/>
        <v>160</v>
      </c>
      <c r="AA27" s="21">
        <f t="shared" ca="1" si="17"/>
        <v>0</v>
      </c>
      <c r="AB27" s="21">
        <f t="shared" ca="1" si="17"/>
        <v>0</v>
      </c>
      <c r="AC27" s="21">
        <f t="shared" ca="1" si="17"/>
        <v>0</v>
      </c>
      <c r="AD27" s="21">
        <f t="shared" ca="1" si="17"/>
        <v>0</v>
      </c>
    </row>
    <row r="28" spans="1:30">
      <c r="C28" s="41"/>
      <c r="D28" s="24"/>
      <c r="E28" s="17" t="s">
        <v>3</v>
      </c>
      <c r="F28" s="65">
        <v>0.05</v>
      </c>
      <c r="G28" s="108">
        <f ca="1">F28*G22</f>
        <v>23</v>
      </c>
      <c r="H28" s="97">
        <f t="shared" ref="H28:AD28" ca="1" si="18">$F28*H22</f>
        <v>18</v>
      </c>
      <c r="I28" s="97">
        <f t="shared" ca="1" si="18"/>
        <v>10</v>
      </c>
      <c r="J28" s="97">
        <f t="shared" ca="1" si="18"/>
        <v>10</v>
      </c>
      <c r="K28" s="97">
        <f t="shared" ca="1" si="18"/>
        <v>15</v>
      </c>
      <c r="L28" s="97">
        <f t="shared" ca="1" si="18"/>
        <v>28</v>
      </c>
      <c r="M28" s="97">
        <f t="shared" ca="1" si="18"/>
        <v>18</v>
      </c>
      <c r="N28" s="97">
        <f t="shared" ca="1" si="18"/>
        <v>57</v>
      </c>
      <c r="O28" s="97">
        <f t="shared" ca="1" si="18"/>
        <v>18</v>
      </c>
      <c r="P28" s="97">
        <f t="shared" ca="1" si="18"/>
        <v>18</v>
      </c>
      <c r="Q28" s="97">
        <f t="shared" ca="1" si="18"/>
        <v>33</v>
      </c>
      <c r="R28" s="97">
        <f t="shared" ca="1" si="18"/>
        <v>33</v>
      </c>
      <c r="S28" s="21">
        <f t="shared" ca="1" si="18"/>
        <v>42</v>
      </c>
      <c r="T28" s="21">
        <f t="shared" ca="1" si="18"/>
        <v>36</v>
      </c>
      <c r="U28" s="21">
        <f t="shared" ca="1" si="18"/>
        <v>17</v>
      </c>
      <c r="V28" s="21">
        <f t="shared" ca="1" si="18"/>
        <v>13</v>
      </c>
      <c r="W28" s="21">
        <f t="shared" ca="1" si="18"/>
        <v>28</v>
      </c>
      <c r="X28" s="21">
        <f t="shared" ca="1" si="18"/>
        <v>48</v>
      </c>
      <c r="Y28" s="21">
        <f t="shared" ca="1" si="18"/>
        <v>36</v>
      </c>
      <c r="Z28" s="21">
        <f t="shared" ca="1" si="18"/>
        <v>107</v>
      </c>
      <c r="AA28" s="21">
        <f t="shared" ca="1" si="18"/>
        <v>0</v>
      </c>
      <c r="AB28" s="21">
        <f t="shared" ca="1" si="18"/>
        <v>0</v>
      </c>
      <c r="AC28" s="21">
        <f t="shared" ca="1" si="18"/>
        <v>0</v>
      </c>
      <c r="AD28" s="21">
        <f t="shared" ca="1" si="18"/>
        <v>0</v>
      </c>
    </row>
    <row r="29" spans="1:30">
      <c r="C29" s="41"/>
      <c r="D29" s="24"/>
      <c r="E29" s="17" t="s">
        <v>4</v>
      </c>
      <c r="F29" s="65">
        <v>0.55000000000000004</v>
      </c>
      <c r="G29" s="108">
        <f ca="1">F29*G23</f>
        <v>9.9</v>
      </c>
      <c r="H29" s="97">
        <f t="shared" ref="H29:AD29" ca="1" si="19">$F29*H23</f>
        <v>9.9</v>
      </c>
      <c r="I29" s="97">
        <f t="shared" ca="1" si="19"/>
        <v>4.95</v>
      </c>
      <c r="J29" s="97">
        <f t="shared" ca="1" si="19"/>
        <v>4.95</v>
      </c>
      <c r="K29" s="97">
        <f t="shared" ca="1" si="19"/>
        <v>9.9</v>
      </c>
      <c r="L29" s="97">
        <f t="shared" ca="1" si="19"/>
        <v>14.850000000000001</v>
      </c>
      <c r="M29" s="97">
        <f t="shared" ca="1" si="19"/>
        <v>9.9</v>
      </c>
      <c r="N29" s="97">
        <f t="shared" ca="1" si="19"/>
        <v>28.05</v>
      </c>
      <c r="O29" s="97">
        <f t="shared" ca="1" si="19"/>
        <v>9.9</v>
      </c>
      <c r="P29" s="97">
        <f t="shared" ca="1" si="19"/>
        <v>9.9</v>
      </c>
      <c r="Q29" s="97">
        <f t="shared" ca="1" si="19"/>
        <v>14.850000000000001</v>
      </c>
      <c r="R29" s="97">
        <f t="shared" ca="1" si="19"/>
        <v>14.850000000000001</v>
      </c>
      <c r="S29" s="21">
        <f t="shared" ca="1" si="19"/>
        <v>20.900000000000002</v>
      </c>
      <c r="T29" s="21">
        <f t="shared" ca="1" si="19"/>
        <v>18.150000000000002</v>
      </c>
      <c r="U29" s="21">
        <f t="shared" ca="1" si="19"/>
        <v>8.25</v>
      </c>
      <c r="V29" s="21">
        <f t="shared" ca="1" si="19"/>
        <v>7.15</v>
      </c>
      <c r="W29" s="21">
        <f t="shared" ca="1" si="19"/>
        <v>13.750000000000002</v>
      </c>
      <c r="X29" s="21">
        <f t="shared" ca="1" si="19"/>
        <v>24.200000000000003</v>
      </c>
      <c r="Y29" s="21">
        <f t="shared" ca="1" si="19"/>
        <v>18.150000000000002</v>
      </c>
      <c r="Z29" s="21">
        <f t="shared" ca="1" si="19"/>
        <v>52.800000000000004</v>
      </c>
      <c r="AA29" s="21">
        <f t="shared" ca="1" si="19"/>
        <v>0</v>
      </c>
      <c r="AB29" s="21">
        <f t="shared" ca="1" si="19"/>
        <v>0</v>
      </c>
      <c r="AC29" s="21">
        <f t="shared" ca="1" si="19"/>
        <v>0</v>
      </c>
      <c r="AD29" s="21">
        <f t="shared" ca="1" si="19"/>
        <v>0</v>
      </c>
    </row>
    <row r="30" spans="1:30">
      <c r="C30" s="41"/>
      <c r="D30" s="24"/>
      <c r="E30" s="17" t="s">
        <v>5</v>
      </c>
      <c r="F30" s="2" t="s">
        <v>22</v>
      </c>
      <c r="G30" s="108">
        <f ca="1">'1. Bottom Up Revenue Model'!G30</f>
        <v>23</v>
      </c>
      <c r="H30" s="97">
        <f ca="1">'1. Bottom Up Revenue Model'!H30</f>
        <v>18</v>
      </c>
      <c r="I30" s="97">
        <f ca="1">'1. Bottom Up Revenue Model'!I30</f>
        <v>10</v>
      </c>
      <c r="J30" s="97">
        <f ca="1">'1. Bottom Up Revenue Model'!J30</f>
        <v>10</v>
      </c>
      <c r="K30" s="97">
        <f ca="1">'1. Bottom Up Revenue Model'!K30</f>
        <v>15</v>
      </c>
      <c r="L30" s="97">
        <f ca="1">'1. Bottom Up Revenue Model'!L30</f>
        <v>28</v>
      </c>
      <c r="M30" s="97">
        <f ca="1">'1. Bottom Up Revenue Model'!M30</f>
        <v>18</v>
      </c>
      <c r="N30" s="97">
        <f ca="1">'1. Bottom Up Revenue Model'!N30</f>
        <v>57</v>
      </c>
      <c r="O30" s="97">
        <f ca="1">'1. Bottom Up Revenue Model'!O30</f>
        <v>18</v>
      </c>
      <c r="P30" s="97">
        <f ca="1">'1. Bottom Up Revenue Model'!P30</f>
        <v>18</v>
      </c>
      <c r="Q30" s="97">
        <f ca="1">'1. Bottom Up Revenue Model'!Q30</f>
        <v>33</v>
      </c>
      <c r="R30" s="97">
        <f ca="1">'1. Bottom Up Revenue Model'!R30</f>
        <v>33</v>
      </c>
      <c r="S30" s="21">
        <f ca="1">'1. Bottom Up Revenue Model'!S30</f>
        <v>42</v>
      </c>
      <c r="T30" s="21">
        <f ca="1">'1. Bottom Up Revenue Model'!T30</f>
        <v>36</v>
      </c>
      <c r="U30" s="21">
        <f ca="1">'1. Bottom Up Revenue Model'!U30</f>
        <v>17</v>
      </c>
      <c r="V30" s="21">
        <f ca="1">'1. Bottom Up Revenue Model'!V30</f>
        <v>13</v>
      </c>
      <c r="W30" s="21">
        <f ca="1">'1. Bottom Up Revenue Model'!W30</f>
        <v>28</v>
      </c>
      <c r="X30" s="21">
        <f ca="1">'1. Bottom Up Revenue Model'!X30</f>
        <v>48</v>
      </c>
      <c r="Y30" s="21">
        <f ca="1">'1. Bottom Up Revenue Model'!Y30</f>
        <v>36</v>
      </c>
      <c r="Z30" s="21">
        <f ca="1">'1. Bottom Up Revenue Model'!Z30</f>
        <v>107</v>
      </c>
      <c r="AA30" s="21">
        <f ca="1">'1. Bottom Up Revenue Model'!AA30</f>
        <v>0</v>
      </c>
      <c r="AB30" s="21">
        <f ca="1">'1. Bottom Up Revenue Model'!AB30</f>
        <v>0</v>
      </c>
      <c r="AC30" s="21">
        <f ca="1">'1. Bottom Up Revenue Model'!AC30</f>
        <v>0</v>
      </c>
      <c r="AD30" s="21">
        <f ca="1">'1. Bottom Up Revenue Model'!AD30</f>
        <v>0</v>
      </c>
    </row>
    <row r="31" spans="1:30">
      <c r="D31" s="27"/>
      <c r="E31" s="29"/>
      <c r="F31" s="30"/>
      <c r="G31" s="28"/>
      <c r="H31" s="28"/>
      <c r="I31" s="28"/>
      <c r="J31" s="28"/>
      <c r="K31" s="28"/>
      <c r="L31" s="28"/>
      <c r="M31" s="28"/>
      <c r="N31" s="28"/>
      <c r="O31" s="28"/>
      <c r="P31" s="28"/>
      <c r="Q31" s="28"/>
      <c r="R31" s="45"/>
      <c r="S31" s="20"/>
      <c r="T31" s="20"/>
      <c r="U31" s="20"/>
      <c r="V31" s="20"/>
      <c r="W31" s="20"/>
      <c r="X31" s="20"/>
      <c r="Y31" s="20"/>
      <c r="Z31" s="20"/>
      <c r="AA31" s="20"/>
      <c r="AB31" s="20"/>
      <c r="AC31" s="20"/>
      <c r="AD31" s="20"/>
    </row>
    <row r="32" spans="1:30">
      <c r="D32" s="24"/>
      <c r="E32" s="11" t="s">
        <v>31</v>
      </c>
      <c r="F32" s="14">
        <v>0.6</v>
      </c>
      <c r="G32" s="15">
        <f ca="1">SUM(G33:G37)</f>
        <v>32</v>
      </c>
      <c r="H32" s="15">
        <f t="shared" ref="H32:AD32" ca="1" si="20">SUM(H33:H37)</f>
        <v>53</v>
      </c>
      <c r="I32" s="15">
        <f t="shared" ca="1" si="20"/>
        <v>56</v>
      </c>
      <c r="J32" s="15">
        <f t="shared" ca="1" si="20"/>
        <v>68</v>
      </c>
      <c r="K32" s="15">
        <f t="shared" ca="1" si="20"/>
        <v>56</v>
      </c>
      <c r="L32" s="15">
        <f t="shared" ca="1" si="20"/>
        <v>30</v>
      </c>
      <c r="M32" s="15">
        <f t="shared" ca="1" si="20"/>
        <v>27</v>
      </c>
      <c r="N32" s="15">
        <f t="shared" ca="1" si="20"/>
        <v>47</v>
      </c>
      <c r="O32" s="15">
        <f t="shared" ca="1" si="20"/>
        <v>83</v>
      </c>
      <c r="P32" s="15">
        <f t="shared" ca="1" si="20"/>
        <v>56</v>
      </c>
      <c r="Q32" s="15">
        <f t="shared" ca="1" si="20"/>
        <v>173</v>
      </c>
      <c r="R32" s="15">
        <f t="shared" ca="1" si="20"/>
        <v>56</v>
      </c>
      <c r="S32" s="21">
        <f t="shared" ca="1" si="20"/>
        <v>56</v>
      </c>
      <c r="T32" s="21">
        <f t="shared" ca="1" si="20"/>
        <v>98</v>
      </c>
      <c r="U32" s="21">
        <f t="shared" ca="1" si="20"/>
        <v>98</v>
      </c>
      <c r="V32" s="21">
        <f t="shared" ca="1" si="20"/>
        <v>125</v>
      </c>
      <c r="W32" s="21">
        <f t="shared" ca="1" si="20"/>
        <v>109</v>
      </c>
      <c r="X32" s="21">
        <f t="shared" ca="1" si="20"/>
        <v>50</v>
      </c>
      <c r="Y32" s="21">
        <f t="shared" ca="1" si="20"/>
        <v>40</v>
      </c>
      <c r="Z32" s="21">
        <f t="shared" ca="1" si="20"/>
        <v>84</v>
      </c>
      <c r="AA32" s="21">
        <f t="shared" ca="1" si="20"/>
        <v>146</v>
      </c>
      <c r="AB32" s="21">
        <f t="shared" ca="1" si="20"/>
        <v>109</v>
      </c>
      <c r="AC32" s="21">
        <f t="shared" ca="1" si="20"/>
        <v>320</v>
      </c>
      <c r="AD32" s="21">
        <f t="shared" ca="1" si="20"/>
        <v>0</v>
      </c>
    </row>
    <row r="33" spans="1:30">
      <c r="D33" s="24"/>
      <c r="E33" s="17" t="s">
        <v>1</v>
      </c>
      <c r="F33" s="66">
        <v>0.6</v>
      </c>
      <c r="G33" s="97">
        <f ca="1">IF('1. Bottom Up Revenue Model'!$B$19&gt;1,'1. Bottom Up Revenue Model'!G33,('2. Top Down Revenue Model'!G26*'2. Top Down Revenue Model'!F33))</f>
        <v>6</v>
      </c>
      <c r="H33" s="97">
        <f ca="1">IF('1. Bottom Up Revenue Model'!$B$19&gt;1,'1. Bottom Up Revenue Model'!H33,ROUND(IF('1. Bottom Up Revenue Model'!$B$19=1,$F33*G26,H26*$F33),0))</f>
        <v>11</v>
      </c>
      <c r="I33" s="97">
        <f ca="1">IF('1. Bottom Up Revenue Model'!$B$19&gt;2,'1. Bottom Up Revenue Model'!I33,ROUND(OFFSET(I26,0,-'1. Bottom Up Revenue Model'!$B$19)*$F33,0))</f>
        <v>11</v>
      </c>
      <c r="J33" s="97">
        <f ca="1">ROUND(OFFSET(J26,0,-'1. Bottom Up Revenue Model'!$B$19)*$F33,0)</f>
        <v>14</v>
      </c>
      <c r="K33" s="97">
        <f ca="1">ROUND(OFFSET(K26,0,-'1. Bottom Up Revenue Model'!$B$19)*$F33,0)</f>
        <v>11</v>
      </c>
      <c r="L33" s="97">
        <f ca="1">ROUND(OFFSET(L26,0,-'1. Bottom Up Revenue Model'!$B$19)*$F33,0)</f>
        <v>6</v>
      </c>
      <c r="M33" s="97">
        <f ca="1">ROUND(OFFSET(M26,0,-'1. Bottom Up Revenue Model'!$B$19)*$F33,0)</f>
        <v>6</v>
      </c>
      <c r="N33" s="97">
        <f ca="1">ROUND(OFFSET(N26,0,-'1. Bottom Up Revenue Model'!$B$19)*$F33,0)</f>
        <v>9</v>
      </c>
      <c r="O33" s="97">
        <f ca="1">ROUND(OFFSET(O26,0,-'1. Bottom Up Revenue Model'!$B$19)*$F33,0)</f>
        <v>17</v>
      </c>
      <c r="P33" s="97">
        <f ca="1">ROUND(OFFSET(P26,0,-'1. Bottom Up Revenue Model'!$B$19)*$F33,0)</f>
        <v>11</v>
      </c>
      <c r="Q33" s="97">
        <f ca="1">ROUND(OFFSET(Q26,0,-'1. Bottom Up Revenue Model'!$B$19)*$F33,0)</f>
        <v>34</v>
      </c>
      <c r="R33" s="97">
        <f ca="1">ROUND(OFFSET(R26,0,-'1. Bottom Up Revenue Model'!$B$19)*$F33,0)</f>
        <v>11</v>
      </c>
      <c r="S33" s="21">
        <f ca="1">ROUND(OFFSET(S26,0,-'1. Bottom Up Revenue Model'!$B$19)*$F33,0)</f>
        <v>11</v>
      </c>
      <c r="T33" s="21">
        <f ca="1">ROUND(OFFSET(T26,0,-'1. Bottom Up Revenue Model'!$B$19)*$F33,0)</f>
        <v>20</v>
      </c>
      <c r="U33" s="21">
        <f ca="1">ROUND(OFFSET(U26,0,-'1. Bottom Up Revenue Model'!$B$19)*$F33,0)</f>
        <v>20</v>
      </c>
      <c r="V33" s="21">
        <f ca="1">ROUND(OFFSET(V26,0,-'1. Bottom Up Revenue Model'!$B$19)*$F33,0)</f>
        <v>25</v>
      </c>
      <c r="W33" s="21">
        <f ca="1">ROUND(OFFSET(W26,0,-'1. Bottom Up Revenue Model'!$B$19)*$F33,0)</f>
        <v>22</v>
      </c>
      <c r="X33" s="21">
        <f ca="1">ROUND(OFFSET(X26,0,-'1. Bottom Up Revenue Model'!$B$19)*$F33,0)</f>
        <v>10</v>
      </c>
      <c r="Y33" s="21">
        <f ca="1">ROUND(OFFSET(Y26,0,-'1. Bottom Up Revenue Model'!$B$19)*$F33,0)</f>
        <v>8</v>
      </c>
      <c r="Z33" s="21">
        <f ca="1">ROUND(OFFSET(Z26,0,-'1. Bottom Up Revenue Model'!$B$19)*$F33,0)</f>
        <v>17</v>
      </c>
      <c r="AA33" s="21">
        <f ca="1">ROUND(OFFSET(AA26,0,-'1. Bottom Up Revenue Model'!$B$19)*$F33,0)</f>
        <v>29</v>
      </c>
      <c r="AB33" s="21">
        <f ca="1">ROUND(OFFSET(AB26,0,-'1. Bottom Up Revenue Model'!$B$19)*$F33,0)</f>
        <v>22</v>
      </c>
      <c r="AC33" s="21">
        <f ca="1">ROUND(OFFSET(AC26,0,-'1. Bottom Up Revenue Model'!$B$19)*$F33,0)</f>
        <v>64</v>
      </c>
      <c r="AD33" s="21">
        <f ca="1">ROUND(OFFSET(AD26,0,-'1. Bottom Up Revenue Model'!$B$19)*$F33,0)</f>
        <v>0</v>
      </c>
    </row>
    <row r="34" spans="1:30">
      <c r="D34" s="24"/>
      <c r="E34" s="17" t="s">
        <v>2</v>
      </c>
      <c r="F34" s="66">
        <v>0.6</v>
      </c>
      <c r="G34" s="97">
        <f ca="1">IF('1. Bottom Up Revenue Model'!$B$19&gt;1,'1. Bottom Up Revenue Model'!G34,('2. Top Down Revenue Model'!G27*'2. Top Down Revenue Model'!F34))</f>
        <v>11</v>
      </c>
      <c r="H34" s="97">
        <f ca="1">IF('1. Bottom Up Revenue Model'!$B$19&gt;1,'1. Bottom Up Revenue Model'!H34,ROUND(IF('1. Bottom Up Revenue Model'!$B$19=1,$F34*G27,H27*$F34),0))</f>
        <v>14</v>
      </c>
      <c r="I34" s="97">
        <f ca="1">IF('1. Bottom Up Revenue Model'!$B$19&gt;2,'1. Bottom Up Revenue Model'!I34,ROUND(OFFSET(I27,0,-'1. Bottom Up Revenue Model'!$B$19)*$F34,0))</f>
        <v>17</v>
      </c>
      <c r="J34" s="97">
        <f ca="1">ROUND(OFFSET(J27,0,-'1. Bottom Up Revenue Model'!$B$19)*$F34,0)</f>
        <v>20</v>
      </c>
      <c r="K34" s="97">
        <f ca="1">ROUND(OFFSET(K27,0,-'1. Bottom Up Revenue Model'!$B$19)*$F34,0)</f>
        <v>17</v>
      </c>
      <c r="L34" s="97">
        <f ca="1">ROUND(OFFSET(L27,0,-'1. Bottom Up Revenue Model'!$B$19)*$F34,0)</f>
        <v>9</v>
      </c>
      <c r="M34" s="97">
        <f ca="1">ROUND(OFFSET(M27,0,-'1. Bottom Up Revenue Model'!$B$19)*$F34,0)</f>
        <v>6</v>
      </c>
      <c r="N34" s="97">
        <f ca="1">ROUND(OFFSET(N27,0,-'1. Bottom Up Revenue Model'!$B$19)*$F34,0)</f>
        <v>14</v>
      </c>
      <c r="O34" s="97">
        <f ca="1">ROUND(OFFSET(O27,0,-'1. Bottom Up Revenue Model'!$B$19)*$F34,0)</f>
        <v>23</v>
      </c>
      <c r="P34" s="97">
        <f ca="1">ROUND(OFFSET(P27,0,-'1. Bottom Up Revenue Model'!$B$19)*$F34,0)</f>
        <v>17</v>
      </c>
      <c r="Q34" s="97">
        <f ca="1">ROUND(OFFSET(Q27,0,-'1. Bottom Up Revenue Model'!$B$19)*$F34,0)</f>
        <v>54</v>
      </c>
      <c r="R34" s="97">
        <f ca="1">ROUND(OFFSET(R27,0,-'1. Bottom Up Revenue Model'!$B$19)*$F34,0)</f>
        <v>17</v>
      </c>
      <c r="S34" s="21">
        <f ca="1">ROUND(OFFSET(S27,0,-'1. Bottom Up Revenue Model'!$B$19)*$F34,0)</f>
        <v>17</v>
      </c>
      <c r="T34" s="21">
        <f ca="1">ROUND(OFFSET(T27,0,-'1. Bottom Up Revenue Model'!$B$19)*$F34,0)</f>
        <v>29</v>
      </c>
      <c r="U34" s="21">
        <f ca="1">ROUND(OFFSET(U27,0,-'1. Bottom Up Revenue Model'!$B$19)*$F34,0)</f>
        <v>29</v>
      </c>
      <c r="V34" s="21">
        <f ca="1">ROUND(OFFSET(V27,0,-'1. Bottom Up Revenue Model'!$B$19)*$F34,0)</f>
        <v>37</v>
      </c>
      <c r="W34" s="21">
        <f ca="1">ROUND(OFFSET(W27,0,-'1. Bottom Up Revenue Model'!$B$19)*$F34,0)</f>
        <v>32</v>
      </c>
      <c r="X34" s="21">
        <f ca="1">ROUND(OFFSET(X27,0,-'1. Bottom Up Revenue Model'!$B$19)*$F34,0)</f>
        <v>15</v>
      </c>
      <c r="Y34" s="21">
        <f ca="1">ROUND(OFFSET(Y27,0,-'1. Bottom Up Revenue Model'!$B$19)*$F34,0)</f>
        <v>12</v>
      </c>
      <c r="Z34" s="21">
        <f ca="1">ROUND(OFFSET(Z27,0,-'1. Bottom Up Revenue Model'!$B$19)*$F34,0)</f>
        <v>25</v>
      </c>
      <c r="AA34" s="21">
        <f ca="1">ROUND(OFFSET(AA27,0,-'1. Bottom Up Revenue Model'!$B$19)*$F34,0)</f>
        <v>44</v>
      </c>
      <c r="AB34" s="21">
        <f ca="1">ROUND(OFFSET(AB27,0,-'1. Bottom Up Revenue Model'!$B$19)*$F34,0)</f>
        <v>32</v>
      </c>
      <c r="AC34" s="21">
        <f ca="1">ROUND(OFFSET(AC27,0,-'1. Bottom Up Revenue Model'!$B$19)*$F34,0)</f>
        <v>96</v>
      </c>
      <c r="AD34" s="21">
        <f ca="1">ROUND(OFFSET(AD27,0,-'1. Bottom Up Revenue Model'!$B$19)*$F34,0)</f>
        <v>0</v>
      </c>
    </row>
    <row r="35" spans="1:30">
      <c r="D35" s="24"/>
      <c r="E35" s="17" t="s">
        <v>3</v>
      </c>
      <c r="F35" s="66">
        <v>0.6</v>
      </c>
      <c r="G35" s="97">
        <f ca="1">IF('1. Bottom Up Revenue Model'!$B$19&gt;1,'1. Bottom Up Revenue Model'!G35,('2. Top Down Revenue Model'!G28*'2. Top Down Revenue Model'!F35))</f>
        <v>6</v>
      </c>
      <c r="H35" s="97">
        <f ca="1">IF('1. Bottom Up Revenue Model'!$B$19&gt;1,'1. Bottom Up Revenue Model'!H35,ROUND(IF('1. Bottom Up Revenue Model'!$B$19=1,$F35*G28,H28*$F35),0))</f>
        <v>11</v>
      </c>
      <c r="I35" s="97">
        <f ca="1">IF('1. Bottom Up Revenue Model'!$B$19&gt;2,'1. Bottom Up Revenue Model'!I35,ROUND(OFFSET(I28,0,-'1. Bottom Up Revenue Model'!$B$19)*$F35,0))</f>
        <v>11</v>
      </c>
      <c r="J35" s="97">
        <f ca="1">ROUND(OFFSET(J28,0,-'1. Bottom Up Revenue Model'!$B$19)*$F35,0)</f>
        <v>14</v>
      </c>
      <c r="K35" s="97">
        <f ca="1">ROUND(OFFSET(K28,0,-'1. Bottom Up Revenue Model'!$B$19)*$F35,0)</f>
        <v>11</v>
      </c>
      <c r="L35" s="97">
        <f ca="1">ROUND(OFFSET(L28,0,-'1. Bottom Up Revenue Model'!$B$19)*$F35,0)</f>
        <v>6</v>
      </c>
      <c r="M35" s="97">
        <f ca="1">ROUND(OFFSET(M28,0,-'1. Bottom Up Revenue Model'!$B$19)*$F35,0)</f>
        <v>6</v>
      </c>
      <c r="N35" s="97">
        <f ca="1">ROUND(OFFSET(N28,0,-'1. Bottom Up Revenue Model'!$B$19)*$F35,0)</f>
        <v>9</v>
      </c>
      <c r="O35" s="97">
        <f ca="1">ROUND(OFFSET(O28,0,-'1. Bottom Up Revenue Model'!$B$19)*$F35,0)</f>
        <v>17</v>
      </c>
      <c r="P35" s="97">
        <f ca="1">ROUND(OFFSET(P28,0,-'1. Bottom Up Revenue Model'!$B$19)*$F35,0)</f>
        <v>11</v>
      </c>
      <c r="Q35" s="97">
        <f ca="1">ROUND(OFFSET(Q28,0,-'1. Bottom Up Revenue Model'!$B$19)*$F35,0)</f>
        <v>34</v>
      </c>
      <c r="R35" s="97">
        <f ca="1">ROUND(OFFSET(R28,0,-'1. Bottom Up Revenue Model'!$B$19)*$F35,0)</f>
        <v>11</v>
      </c>
      <c r="S35" s="21">
        <f ca="1">ROUND(OFFSET(S28,0,-'1. Bottom Up Revenue Model'!$B$19)*$F35,0)</f>
        <v>11</v>
      </c>
      <c r="T35" s="21">
        <f ca="1">ROUND(OFFSET(T28,0,-'1. Bottom Up Revenue Model'!$B$19)*$F35,0)</f>
        <v>20</v>
      </c>
      <c r="U35" s="21">
        <f ca="1">ROUND(OFFSET(U28,0,-'1. Bottom Up Revenue Model'!$B$19)*$F35,0)</f>
        <v>20</v>
      </c>
      <c r="V35" s="21">
        <f ca="1">ROUND(OFFSET(V28,0,-'1. Bottom Up Revenue Model'!$B$19)*$F35,0)</f>
        <v>25</v>
      </c>
      <c r="W35" s="21">
        <f ca="1">ROUND(OFFSET(W28,0,-'1. Bottom Up Revenue Model'!$B$19)*$F35,0)</f>
        <v>22</v>
      </c>
      <c r="X35" s="21">
        <f ca="1">ROUND(OFFSET(X28,0,-'1. Bottom Up Revenue Model'!$B$19)*$F35,0)</f>
        <v>10</v>
      </c>
      <c r="Y35" s="21">
        <f ca="1">ROUND(OFFSET(Y28,0,-'1. Bottom Up Revenue Model'!$B$19)*$F35,0)</f>
        <v>8</v>
      </c>
      <c r="Z35" s="21">
        <f ca="1">ROUND(OFFSET(Z28,0,-'1. Bottom Up Revenue Model'!$B$19)*$F35,0)</f>
        <v>17</v>
      </c>
      <c r="AA35" s="21">
        <f ca="1">ROUND(OFFSET(AA28,0,-'1. Bottom Up Revenue Model'!$B$19)*$F35,0)</f>
        <v>29</v>
      </c>
      <c r="AB35" s="21">
        <f ca="1">ROUND(OFFSET(AB28,0,-'1. Bottom Up Revenue Model'!$B$19)*$F35,0)</f>
        <v>22</v>
      </c>
      <c r="AC35" s="21">
        <f ca="1">ROUND(OFFSET(AC28,0,-'1. Bottom Up Revenue Model'!$B$19)*$F35,0)</f>
        <v>64</v>
      </c>
      <c r="AD35" s="21">
        <f ca="1">ROUND(OFFSET(AD28,0,-'1. Bottom Up Revenue Model'!$B$19)*$F35,0)</f>
        <v>0</v>
      </c>
    </row>
    <row r="36" spans="1:30">
      <c r="D36" s="24"/>
      <c r="E36" s="17" t="s">
        <v>4</v>
      </c>
      <c r="F36" s="66">
        <v>0.6</v>
      </c>
      <c r="G36" s="97">
        <f ca="1">IF('1. Bottom Up Revenue Model'!$B$19&gt;1,'1. Bottom Up Revenue Model'!G36,('2. Top Down Revenue Model'!G29*'2. Top Down Revenue Model'!F36))</f>
        <v>3</v>
      </c>
      <c r="H36" s="97">
        <f ca="1">IF('1. Bottom Up Revenue Model'!$B$19&gt;1,'1. Bottom Up Revenue Model'!H36,ROUND(IF('1. Bottom Up Revenue Model'!$B$19=1,$F36*G29,H29*$F36),0))</f>
        <v>6</v>
      </c>
      <c r="I36" s="97">
        <f ca="1">IF('1. Bottom Up Revenue Model'!$B$19&gt;2,'1. Bottom Up Revenue Model'!I36,ROUND(OFFSET(I29,0,-'1. Bottom Up Revenue Model'!$B$19)*$F36,0))</f>
        <v>6</v>
      </c>
      <c r="J36" s="97">
        <f ca="1">ROUND(OFFSET(J29,0,-'1. Bottom Up Revenue Model'!$B$19)*$F36,0)</f>
        <v>6</v>
      </c>
      <c r="K36" s="97">
        <f ca="1">ROUND(OFFSET(K29,0,-'1. Bottom Up Revenue Model'!$B$19)*$F36,0)</f>
        <v>6</v>
      </c>
      <c r="L36" s="97">
        <f ca="1">ROUND(OFFSET(L29,0,-'1. Bottom Up Revenue Model'!$B$19)*$F36,0)</f>
        <v>3</v>
      </c>
      <c r="M36" s="97">
        <f ca="1">ROUND(OFFSET(M29,0,-'1. Bottom Up Revenue Model'!$B$19)*$F36,0)</f>
        <v>3</v>
      </c>
      <c r="N36" s="97">
        <f ca="1">ROUND(OFFSET(N29,0,-'1. Bottom Up Revenue Model'!$B$19)*$F36,0)</f>
        <v>6</v>
      </c>
      <c r="O36" s="97">
        <f ca="1">ROUND(OFFSET(O29,0,-'1. Bottom Up Revenue Model'!$B$19)*$F36,0)</f>
        <v>9</v>
      </c>
      <c r="P36" s="97">
        <f ca="1">ROUND(OFFSET(P29,0,-'1. Bottom Up Revenue Model'!$B$19)*$F36,0)</f>
        <v>6</v>
      </c>
      <c r="Q36" s="97">
        <f ca="1">ROUND(OFFSET(Q29,0,-'1. Bottom Up Revenue Model'!$B$19)*$F36,0)</f>
        <v>17</v>
      </c>
      <c r="R36" s="97">
        <f ca="1">ROUND(OFFSET(R29,0,-'1. Bottom Up Revenue Model'!$B$19)*$F36,0)</f>
        <v>6</v>
      </c>
      <c r="S36" s="21">
        <f ca="1">ROUND(OFFSET(S29,0,-'1. Bottom Up Revenue Model'!$B$19)*$F36,0)</f>
        <v>6</v>
      </c>
      <c r="T36" s="21">
        <f ca="1">ROUND(OFFSET(T29,0,-'1. Bottom Up Revenue Model'!$B$19)*$F36,0)</f>
        <v>9</v>
      </c>
      <c r="U36" s="21">
        <f ca="1">ROUND(OFFSET(U29,0,-'1. Bottom Up Revenue Model'!$B$19)*$F36,0)</f>
        <v>9</v>
      </c>
      <c r="V36" s="21">
        <f ca="1">ROUND(OFFSET(V29,0,-'1. Bottom Up Revenue Model'!$B$19)*$F36,0)</f>
        <v>13</v>
      </c>
      <c r="W36" s="21">
        <f ca="1">ROUND(OFFSET(W29,0,-'1. Bottom Up Revenue Model'!$B$19)*$F36,0)</f>
        <v>11</v>
      </c>
      <c r="X36" s="21">
        <f ca="1">ROUND(OFFSET(X29,0,-'1. Bottom Up Revenue Model'!$B$19)*$F36,0)</f>
        <v>5</v>
      </c>
      <c r="Y36" s="21">
        <f ca="1">ROUND(OFFSET(Y29,0,-'1. Bottom Up Revenue Model'!$B$19)*$F36,0)</f>
        <v>4</v>
      </c>
      <c r="Z36" s="21">
        <f ca="1">ROUND(OFFSET(Z29,0,-'1. Bottom Up Revenue Model'!$B$19)*$F36,0)</f>
        <v>8</v>
      </c>
      <c r="AA36" s="21">
        <f ca="1">ROUND(OFFSET(AA29,0,-'1. Bottom Up Revenue Model'!$B$19)*$F36,0)</f>
        <v>15</v>
      </c>
      <c r="AB36" s="21">
        <f ca="1">ROUND(OFFSET(AB29,0,-'1. Bottom Up Revenue Model'!$B$19)*$F36,0)</f>
        <v>11</v>
      </c>
      <c r="AC36" s="21">
        <f ca="1">ROUND(OFFSET(AC29,0,-'1. Bottom Up Revenue Model'!$B$19)*$F36,0)</f>
        <v>32</v>
      </c>
      <c r="AD36" s="21">
        <f ca="1">ROUND(OFFSET(AD29,0,-'1. Bottom Up Revenue Model'!$B$19)*$F36,0)</f>
        <v>0</v>
      </c>
    </row>
    <row r="37" spans="1:30">
      <c r="D37" s="24"/>
      <c r="E37" s="17" t="s">
        <v>5</v>
      </c>
      <c r="F37" s="66">
        <v>0.6</v>
      </c>
      <c r="G37" s="97">
        <f ca="1">IF('1. Bottom Up Revenue Model'!$B$19&gt;1,'1. Bottom Up Revenue Model'!G37,('2. Top Down Revenue Model'!G30*'2. Top Down Revenue Model'!F37))</f>
        <v>6</v>
      </c>
      <c r="H37" s="97">
        <f ca="1">IF('1. Bottom Up Revenue Model'!$B$19&gt;1,'1. Bottom Up Revenue Model'!H37,ROUND(IF('1. Bottom Up Revenue Model'!$B$19=1,$F37*G30,H30*$F37),0))</f>
        <v>11</v>
      </c>
      <c r="I37" s="97">
        <f ca="1">IF('1. Bottom Up Revenue Model'!$B$19&gt;2,'1. Bottom Up Revenue Model'!I37,ROUND(OFFSET(I30,0,-'1. Bottom Up Revenue Model'!$B$19)*$F37,0))</f>
        <v>11</v>
      </c>
      <c r="J37" s="97">
        <f ca="1">ROUND(OFFSET(J30,0,-'1. Bottom Up Revenue Model'!$B$19)*$F37,0)</f>
        <v>14</v>
      </c>
      <c r="K37" s="97">
        <f ca="1">ROUND(OFFSET(K30,0,-'1. Bottom Up Revenue Model'!$B$19)*$F37,0)</f>
        <v>11</v>
      </c>
      <c r="L37" s="97">
        <f ca="1">ROUND(OFFSET(L30,0,-'1. Bottom Up Revenue Model'!$B$19)*$F37,0)</f>
        <v>6</v>
      </c>
      <c r="M37" s="97">
        <f ca="1">ROUND(OFFSET(M30,0,-'1. Bottom Up Revenue Model'!$B$19)*$F37,0)</f>
        <v>6</v>
      </c>
      <c r="N37" s="97">
        <f ca="1">ROUND(OFFSET(N30,0,-'1. Bottom Up Revenue Model'!$B$19)*$F37,0)</f>
        <v>9</v>
      </c>
      <c r="O37" s="97">
        <f ca="1">ROUND(OFFSET(O30,0,-'1. Bottom Up Revenue Model'!$B$19)*$F37,0)</f>
        <v>17</v>
      </c>
      <c r="P37" s="97">
        <f ca="1">ROUND(OFFSET(P30,0,-'1. Bottom Up Revenue Model'!$B$19)*$F37,0)</f>
        <v>11</v>
      </c>
      <c r="Q37" s="97">
        <f ca="1">ROUND(OFFSET(Q30,0,-'1. Bottom Up Revenue Model'!$B$19)*$F37,0)</f>
        <v>34</v>
      </c>
      <c r="R37" s="97">
        <f ca="1">ROUND(OFFSET(R30,0,-'1. Bottom Up Revenue Model'!$B$19)*$F37,0)</f>
        <v>11</v>
      </c>
      <c r="S37" s="21">
        <f ca="1">ROUND(OFFSET(S30,0,-'1. Bottom Up Revenue Model'!$B$19)*$F37,0)</f>
        <v>11</v>
      </c>
      <c r="T37" s="21">
        <f ca="1">ROUND(OFFSET(T30,0,-'1. Bottom Up Revenue Model'!$B$19)*$F37,0)</f>
        <v>20</v>
      </c>
      <c r="U37" s="21">
        <f ca="1">ROUND(OFFSET(U30,0,-'1. Bottom Up Revenue Model'!$B$19)*$F37,0)</f>
        <v>20</v>
      </c>
      <c r="V37" s="21">
        <f ca="1">ROUND(OFFSET(V30,0,-'1. Bottom Up Revenue Model'!$B$19)*$F37,0)</f>
        <v>25</v>
      </c>
      <c r="W37" s="21">
        <f ca="1">ROUND(OFFSET(W30,0,-'1. Bottom Up Revenue Model'!$B$19)*$F37,0)</f>
        <v>22</v>
      </c>
      <c r="X37" s="21">
        <f ca="1">ROUND(OFFSET(X30,0,-'1. Bottom Up Revenue Model'!$B$19)*$F37,0)</f>
        <v>10</v>
      </c>
      <c r="Y37" s="21">
        <f ca="1">ROUND(OFFSET(Y30,0,-'1. Bottom Up Revenue Model'!$B$19)*$F37,0)</f>
        <v>8</v>
      </c>
      <c r="Z37" s="21">
        <f ca="1">ROUND(OFFSET(Z30,0,-'1. Bottom Up Revenue Model'!$B$19)*$F37,0)</f>
        <v>17</v>
      </c>
      <c r="AA37" s="21">
        <f ca="1">ROUND(OFFSET(AA30,0,-'1. Bottom Up Revenue Model'!$B$19)*$F37,0)</f>
        <v>29</v>
      </c>
      <c r="AB37" s="21">
        <f ca="1">ROUND(OFFSET(AB30,0,-'1. Bottom Up Revenue Model'!$B$19)*$F37,0)</f>
        <v>22</v>
      </c>
      <c r="AC37" s="21">
        <f ca="1">ROUND(OFFSET(AC30,0,-'1. Bottom Up Revenue Model'!$B$19)*$F37,0)</f>
        <v>64</v>
      </c>
      <c r="AD37" s="21">
        <f ca="1">ROUND(OFFSET(AD30,0,-'1. Bottom Up Revenue Model'!$B$19)*$F37,0)</f>
        <v>0</v>
      </c>
    </row>
    <row r="38" spans="1:30">
      <c r="D38" s="24"/>
      <c r="E38" s="29"/>
      <c r="F38" s="30"/>
      <c r="G38" s="28"/>
      <c r="H38" s="28"/>
      <c r="I38" s="28"/>
      <c r="J38" s="28"/>
      <c r="K38" s="28"/>
      <c r="L38" s="28"/>
      <c r="M38" s="28"/>
      <c r="N38" s="28"/>
      <c r="O38" s="28"/>
      <c r="P38" s="28"/>
      <c r="Q38" s="28"/>
      <c r="R38" s="45"/>
      <c r="S38" s="20"/>
      <c r="T38" s="20"/>
      <c r="U38" s="20"/>
      <c r="V38" s="20"/>
      <c r="W38" s="20"/>
      <c r="X38" s="20"/>
      <c r="Y38" s="20"/>
      <c r="Z38" s="20"/>
      <c r="AA38" s="20"/>
      <c r="AB38" s="20"/>
      <c r="AC38" s="20"/>
      <c r="AD38" s="20"/>
    </row>
    <row r="39" spans="1:30">
      <c r="D39" s="24"/>
      <c r="E39" s="11" t="s">
        <v>32</v>
      </c>
      <c r="F39" s="14"/>
      <c r="G39" s="13">
        <f ca="1">SUM(G40:G44)</f>
        <v>640000</v>
      </c>
      <c r="H39" s="13">
        <f t="shared" ref="H39:AD39" ca="1" si="21">SUM(H40:H44)</f>
        <v>1060000</v>
      </c>
      <c r="I39" s="13">
        <f t="shared" ca="1" si="21"/>
        <v>1120000</v>
      </c>
      <c r="J39" s="13">
        <f t="shared" ca="1" si="21"/>
        <v>1360000</v>
      </c>
      <c r="K39" s="13">
        <f t="shared" ca="1" si="21"/>
        <v>1120000</v>
      </c>
      <c r="L39" s="13">
        <f t="shared" ca="1" si="21"/>
        <v>600000</v>
      </c>
      <c r="M39" s="13">
        <f t="shared" ca="1" si="21"/>
        <v>540000</v>
      </c>
      <c r="N39" s="13">
        <f t="shared" ca="1" si="21"/>
        <v>940000</v>
      </c>
      <c r="O39" s="13">
        <f t="shared" ca="1" si="21"/>
        <v>1660000</v>
      </c>
      <c r="P39" s="13">
        <f t="shared" ca="1" si="21"/>
        <v>1120000</v>
      </c>
      <c r="Q39" s="13">
        <f t="shared" ca="1" si="21"/>
        <v>3460000</v>
      </c>
      <c r="R39" s="13">
        <f t="shared" ca="1" si="21"/>
        <v>1120000</v>
      </c>
      <c r="S39" s="23">
        <f t="shared" ca="1" si="21"/>
        <v>1120000</v>
      </c>
      <c r="T39" s="23">
        <f t="shared" ca="1" si="21"/>
        <v>1960000</v>
      </c>
      <c r="U39" s="23">
        <f t="shared" ca="1" si="21"/>
        <v>1960000</v>
      </c>
      <c r="V39" s="23">
        <f t="shared" ca="1" si="21"/>
        <v>2500000</v>
      </c>
      <c r="W39" s="23">
        <f t="shared" ca="1" si="21"/>
        <v>2180000</v>
      </c>
      <c r="X39" s="23">
        <f t="shared" ca="1" si="21"/>
        <v>1000000</v>
      </c>
      <c r="Y39" s="23">
        <f t="shared" ca="1" si="21"/>
        <v>800000</v>
      </c>
      <c r="Z39" s="23">
        <f t="shared" ca="1" si="21"/>
        <v>1680000</v>
      </c>
      <c r="AA39" s="23">
        <f t="shared" ca="1" si="21"/>
        <v>2920000</v>
      </c>
      <c r="AB39" s="23">
        <f t="shared" ca="1" si="21"/>
        <v>2180000</v>
      </c>
      <c r="AC39" s="23">
        <f t="shared" ca="1" si="21"/>
        <v>6400000</v>
      </c>
      <c r="AD39" s="23">
        <f t="shared" ca="1" si="21"/>
        <v>0</v>
      </c>
    </row>
    <row r="40" spans="1:30">
      <c r="D40" s="24"/>
      <c r="E40" s="17" t="s">
        <v>1</v>
      </c>
      <c r="F40" s="30"/>
      <c r="G40" s="10">
        <f ca="1">ROUND('2. Top Down Revenue Model'!G33*'1. Bottom Up Revenue Model'!$B$17,'1. Bottom Up Revenue Model'!$A$86)</f>
        <v>120000</v>
      </c>
      <c r="H40" s="10">
        <f ca="1">ROUND('2. Top Down Revenue Model'!H33*'1. Bottom Up Revenue Model'!$B$17,'1. Bottom Up Revenue Model'!$A$86)</f>
        <v>220000</v>
      </c>
      <c r="I40" s="10">
        <f ca="1">ROUND('2. Top Down Revenue Model'!I33*'1. Bottom Up Revenue Model'!$B$17,'1. Bottom Up Revenue Model'!$A$86)</f>
        <v>220000</v>
      </c>
      <c r="J40" s="10">
        <f ca="1">ROUND('2. Top Down Revenue Model'!J33*'1. Bottom Up Revenue Model'!$B$17,'1. Bottom Up Revenue Model'!$A$86)</f>
        <v>280000</v>
      </c>
      <c r="K40" s="10">
        <f ca="1">ROUND('2. Top Down Revenue Model'!K33*'1. Bottom Up Revenue Model'!$B$17,'1. Bottom Up Revenue Model'!$A$86)</f>
        <v>220000</v>
      </c>
      <c r="L40" s="10">
        <f ca="1">ROUND('2. Top Down Revenue Model'!L33*'1. Bottom Up Revenue Model'!$B$17,'1. Bottom Up Revenue Model'!$A$86)</f>
        <v>120000</v>
      </c>
      <c r="M40" s="10">
        <f ca="1">ROUND('2. Top Down Revenue Model'!M33*'1. Bottom Up Revenue Model'!$B$17,'1. Bottom Up Revenue Model'!$A$86)</f>
        <v>120000</v>
      </c>
      <c r="N40" s="10">
        <f ca="1">ROUND('2. Top Down Revenue Model'!N33*'1. Bottom Up Revenue Model'!$B$17,'1. Bottom Up Revenue Model'!$A$86)</f>
        <v>180000</v>
      </c>
      <c r="O40" s="10">
        <f ca="1">ROUND('2. Top Down Revenue Model'!O33*'1. Bottom Up Revenue Model'!$B$17,'1. Bottom Up Revenue Model'!$A$86)</f>
        <v>340000</v>
      </c>
      <c r="P40" s="10">
        <f ca="1">ROUND('2. Top Down Revenue Model'!P33*'1. Bottom Up Revenue Model'!$B$17,'1. Bottom Up Revenue Model'!$A$86)</f>
        <v>220000</v>
      </c>
      <c r="Q40" s="10">
        <f ca="1">ROUND('2. Top Down Revenue Model'!Q33*'1. Bottom Up Revenue Model'!$B$17,'1. Bottom Up Revenue Model'!$A$86)</f>
        <v>680000</v>
      </c>
      <c r="R40" s="10">
        <f ca="1">ROUND('2. Top Down Revenue Model'!R33*'1. Bottom Up Revenue Model'!$B$17,'1. Bottom Up Revenue Model'!$A$86)</f>
        <v>220000</v>
      </c>
      <c r="S40" s="22">
        <f ca="1">ROUND('2. Top Down Revenue Model'!S33*'1. Bottom Up Revenue Model'!$B$17,'1. Bottom Up Revenue Model'!$A$86)</f>
        <v>220000</v>
      </c>
      <c r="T40" s="22">
        <f ca="1">ROUND('2. Top Down Revenue Model'!T33*'1. Bottom Up Revenue Model'!$B$17,'1. Bottom Up Revenue Model'!$A$86)</f>
        <v>400000</v>
      </c>
      <c r="U40" s="22">
        <f ca="1">ROUND('2. Top Down Revenue Model'!U33*'1. Bottom Up Revenue Model'!$B$17,'1. Bottom Up Revenue Model'!$A$86)</f>
        <v>400000</v>
      </c>
      <c r="V40" s="22">
        <f ca="1">ROUND('2. Top Down Revenue Model'!V33*'1. Bottom Up Revenue Model'!$B$17,'1. Bottom Up Revenue Model'!$A$86)</f>
        <v>500000</v>
      </c>
      <c r="W40" s="22">
        <f ca="1">ROUND('2. Top Down Revenue Model'!W33*'1. Bottom Up Revenue Model'!$B$17,'1. Bottom Up Revenue Model'!$A$86)</f>
        <v>440000</v>
      </c>
      <c r="X40" s="22">
        <f ca="1">ROUND('2. Top Down Revenue Model'!X33*'1. Bottom Up Revenue Model'!$B$17,'1. Bottom Up Revenue Model'!$A$86)</f>
        <v>200000</v>
      </c>
      <c r="Y40" s="22">
        <f ca="1">ROUND('2. Top Down Revenue Model'!Y33*'1. Bottom Up Revenue Model'!$B$17,'1. Bottom Up Revenue Model'!$A$86)</f>
        <v>160000</v>
      </c>
      <c r="Z40" s="22">
        <f ca="1">ROUND('2. Top Down Revenue Model'!Z33*'1. Bottom Up Revenue Model'!$B$17,'1. Bottom Up Revenue Model'!$A$86)</f>
        <v>340000</v>
      </c>
      <c r="AA40" s="22">
        <f ca="1">ROUND('2. Top Down Revenue Model'!AA33*'1. Bottom Up Revenue Model'!$B$17,'1. Bottom Up Revenue Model'!$A$86)</f>
        <v>580000</v>
      </c>
      <c r="AB40" s="22">
        <f ca="1">ROUND('2. Top Down Revenue Model'!AB33*'1. Bottom Up Revenue Model'!$B$17,'1. Bottom Up Revenue Model'!$A$86)</f>
        <v>440000</v>
      </c>
      <c r="AC40" s="22">
        <f ca="1">ROUND('2. Top Down Revenue Model'!AC33*'1. Bottom Up Revenue Model'!$B$17,'1. Bottom Up Revenue Model'!$A$86)</f>
        <v>1280000</v>
      </c>
      <c r="AD40" s="22">
        <f ca="1">ROUND('2. Top Down Revenue Model'!AD33*'1. Bottom Up Revenue Model'!$B$17,'1. Bottom Up Revenue Model'!$A$86)</f>
        <v>0</v>
      </c>
    </row>
    <row r="41" spans="1:30">
      <c r="A41" s="42"/>
      <c r="B41" s="42"/>
      <c r="D41" s="24"/>
      <c r="E41" s="17" t="s">
        <v>2</v>
      </c>
      <c r="F41" s="30"/>
      <c r="G41" s="10">
        <f ca="1">ROUND('2. Top Down Revenue Model'!G34*'1. Bottom Up Revenue Model'!$B$17,'1. Bottom Up Revenue Model'!$A$86)</f>
        <v>220000</v>
      </c>
      <c r="H41" s="10">
        <f ca="1">ROUND('2. Top Down Revenue Model'!H34*'1. Bottom Up Revenue Model'!$B$17,'1. Bottom Up Revenue Model'!$A$86)</f>
        <v>280000</v>
      </c>
      <c r="I41" s="10">
        <f ca="1">ROUND('2. Top Down Revenue Model'!I34*'1. Bottom Up Revenue Model'!$B$17,'1. Bottom Up Revenue Model'!$A$86)</f>
        <v>340000</v>
      </c>
      <c r="J41" s="10">
        <f ca="1">ROUND('2. Top Down Revenue Model'!J34*'1. Bottom Up Revenue Model'!$B$17,'1. Bottom Up Revenue Model'!$A$86)</f>
        <v>400000</v>
      </c>
      <c r="K41" s="10">
        <f ca="1">ROUND('2. Top Down Revenue Model'!K34*'1. Bottom Up Revenue Model'!$B$17,'1. Bottom Up Revenue Model'!$A$86)</f>
        <v>340000</v>
      </c>
      <c r="L41" s="10">
        <f ca="1">ROUND('2. Top Down Revenue Model'!L34*'1. Bottom Up Revenue Model'!$B$17,'1. Bottom Up Revenue Model'!$A$86)</f>
        <v>180000</v>
      </c>
      <c r="M41" s="10">
        <f ca="1">ROUND('2. Top Down Revenue Model'!M34*'1. Bottom Up Revenue Model'!$B$17,'1. Bottom Up Revenue Model'!$A$86)</f>
        <v>120000</v>
      </c>
      <c r="N41" s="10">
        <f ca="1">ROUND('2. Top Down Revenue Model'!N34*'1. Bottom Up Revenue Model'!$B$17,'1. Bottom Up Revenue Model'!$A$86)</f>
        <v>280000</v>
      </c>
      <c r="O41" s="10">
        <f ca="1">ROUND('2. Top Down Revenue Model'!O34*'1. Bottom Up Revenue Model'!$B$17,'1. Bottom Up Revenue Model'!$A$86)</f>
        <v>460000</v>
      </c>
      <c r="P41" s="10">
        <f ca="1">ROUND('2. Top Down Revenue Model'!P34*'1. Bottom Up Revenue Model'!$B$17,'1. Bottom Up Revenue Model'!$A$86)</f>
        <v>340000</v>
      </c>
      <c r="Q41" s="10">
        <f ca="1">ROUND('2. Top Down Revenue Model'!Q34*'1. Bottom Up Revenue Model'!$B$17,'1. Bottom Up Revenue Model'!$A$86)</f>
        <v>1080000</v>
      </c>
      <c r="R41" s="10">
        <f ca="1">ROUND('2. Top Down Revenue Model'!R34*'1. Bottom Up Revenue Model'!$B$17,'1. Bottom Up Revenue Model'!$A$86)</f>
        <v>340000</v>
      </c>
      <c r="S41" s="22">
        <f ca="1">ROUND('2. Top Down Revenue Model'!S34*'1. Bottom Up Revenue Model'!$B$17,'1. Bottom Up Revenue Model'!$A$86)</f>
        <v>340000</v>
      </c>
      <c r="T41" s="22">
        <f ca="1">ROUND('2. Top Down Revenue Model'!T34*'1. Bottom Up Revenue Model'!$B$17,'1. Bottom Up Revenue Model'!$A$86)</f>
        <v>580000</v>
      </c>
      <c r="U41" s="22">
        <f ca="1">ROUND('2. Top Down Revenue Model'!U34*'1. Bottom Up Revenue Model'!$B$17,'1. Bottom Up Revenue Model'!$A$86)</f>
        <v>580000</v>
      </c>
      <c r="V41" s="22">
        <f ca="1">ROUND('2. Top Down Revenue Model'!V34*'1. Bottom Up Revenue Model'!$B$17,'1. Bottom Up Revenue Model'!$A$86)</f>
        <v>740000</v>
      </c>
      <c r="W41" s="22">
        <f ca="1">ROUND('2. Top Down Revenue Model'!W34*'1. Bottom Up Revenue Model'!$B$17,'1. Bottom Up Revenue Model'!$A$86)</f>
        <v>640000</v>
      </c>
      <c r="X41" s="22">
        <f ca="1">ROUND('2. Top Down Revenue Model'!X34*'1. Bottom Up Revenue Model'!$B$17,'1. Bottom Up Revenue Model'!$A$86)</f>
        <v>300000</v>
      </c>
      <c r="Y41" s="22">
        <f ca="1">ROUND('2. Top Down Revenue Model'!Y34*'1. Bottom Up Revenue Model'!$B$17,'1. Bottom Up Revenue Model'!$A$86)</f>
        <v>240000</v>
      </c>
      <c r="Z41" s="22">
        <f ca="1">ROUND('2. Top Down Revenue Model'!Z34*'1. Bottom Up Revenue Model'!$B$17,'1. Bottom Up Revenue Model'!$A$86)</f>
        <v>500000</v>
      </c>
      <c r="AA41" s="22">
        <f ca="1">ROUND('2. Top Down Revenue Model'!AA34*'1. Bottom Up Revenue Model'!$B$17,'1. Bottom Up Revenue Model'!$A$86)</f>
        <v>880000</v>
      </c>
      <c r="AB41" s="22">
        <f ca="1">ROUND('2. Top Down Revenue Model'!AB34*'1. Bottom Up Revenue Model'!$B$17,'1. Bottom Up Revenue Model'!$A$86)</f>
        <v>640000</v>
      </c>
      <c r="AC41" s="22">
        <f ca="1">ROUND('2. Top Down Revenue Model'!AC34*'1. Bottom Up Revenue Model'!$B$17,'1. Bottom Up Revenue Model'!$A$86)</f>
        <v>1920000</v>
      </c>
      <c r="AD41" s="22">
        <f ca="1">ROUND('2. Top Down Revenue Model'!AD34*'1. Bottom Up Revenue Model'!$B$17,'1. Bottom Up Revenue Model'!$A$86)</f>
        <v>0</v>
      </c>
    </row>
    <row r="42" spans="1:30">
      <c r="D42" s="24"/>
      <c r="E42" s="17" t="s">
        <v>3</v>
      </c>
      <c r="F42" s="30"/>
      <c r="G42" s="10">
        <f ca="1">ROUND('2. Top Down Revenue Model'!G35*'1. Bottom Up Revenue Model'!$B$17,'1. Bottom Up Revenue Model'!$A$86)</f>
        <v>120000</v>
      </c>
      <c r="H42" s="10">
        <f ca="1">ROUND('2. Top Down Revenue Model'!H35*'1. Bottom Up Revenue Model'!$B$17,'1. Bottom Up Revenue Model'!$A$86)</f>
        <v>220000</v>
      </c>
      <c r="I42" s="10">
        <f ca="1">ROUND('2. Top Down Revenue Model'!I35*'1. Bottom Up Revenue Model'!$B$17,'1. Bottom Up Revenue Model'!$A$86)</f>
        <v>220000</v>
      </c>
      <c r="J42" s="10">
        <f ca="1">ROUND('2. Top Down Revenue Model'!J35*'1. Bottom Up Revenue Model'!$B$17,'1. Bottom Up Revenue Model'!$A$86)</f>
        <v>280000</v>
      </c>
      <c r="K42" s="10">
        <f ca="1">ROUND('2. Top Down Revenue Model'!K35*'1. Bottom Up Revenue Model'!$B$17,'1. Bottom Up Revenue Model'!$A$86)</f>
        <v>220000</v>
      </c>
      <c r="L42" s="10">
        <f ca="1">ROUND('2. Top Down Revenue Model'!L35*'1. Bottom Up Revenue Model'!$B$17,'1. Bottom Up Revenue Model'!$A$86)</f>
        <v>120000</v>
      </c>
      <c r="M42" s="10">
        <f ca="1">ROUND('2. Top Down Revenue Model'!M35*'1. Bottom Up Revenue Model'!$B$17,'1. Bottom Up Revenue Model'!$A$86)</f>
        <v>120000</v>
      </c>
      <c r="N42" s="10">
        <f ca="1">ROUND('2. Top Down Revenue Model'!N35*'1. Bottom Up Revenue Model'!$B$17,'1. Bottom Up Revenue Model'!$A$86)</f>
        <v>180000</v>
      </c>
      <c r="O42" s="10">
        <f ca="1">ROUND('2. Top Down Revenue Model'!O35*'1. Bottom Up Revenue Model'!$B$17,'1. Bottom Up Revenue Model'!$A$86)</f>
        <v>340000</v>
      </c>
      <c r="P42" s="10">
        <f ca="1">ROUND('2. Top Down Revenue Model'!P35*'1. Bottom Up Revenue Model'!$B$17,'1. Bottom Up Revenue Model'!$A$86)</f>
        <v>220000</v>
      </c>
      <c r="Q42" s="10">
        <f ca="1">ROUND('2. Top Down Revenue Model'!Q35*'1. Bottom Up Revenue Model'!$B$17,'1. Bottom Up Revenue Model'!$A$86)</f>
        <v>680000</v>
      </c>
      <c r="R42" s="10">
        <f ca="1">ROUND('2. Top Down Revenue Model'!R35*'1. Bottom Up Revenue Model'!$B$17,'1. Bottom Up Revenue Model'!$A$86)</f>
        <v>220000</v>
      </c>
      <c r="S42" s="22">
        <f ca="1">ROUND('2. Top Down Revenue Model'!S35*'1. Bottom Up Revenue Model'!$B$17,'1. Bottom Up Revenue Model'!$A$86)</f>
        <v>220000</v>
      </c>
      <c r="T42" s="22">
        <f ca="1">ROUND('2. Top Down Revenue Model'!T35*'1. Bottom Up Revenue Model'!$B$17,'1. Bottom Up Revenue Model'!$A$86)</f>
        <v>400000</v>
      </c>
      <c r="U42" s="22">
        <f ca="1">ROUND('2. Top Down Revenue Model'!U35*'1. Bottom Up Revenue Model'!$B$17,'1. Bottom Up Revenue Model'!$A$86)</f>
        <v>400000</v>
      </c>
      <c r="V42" s="22">
        <f ca="1">ROUND('2. Top Down Revenue Model'!V35*'1. Bottom Up Revenue Model'!$B$17,'1. Bottom Up Revenue Model'!$A$86)</f>
        <v>500000</v>
      </c>
      <c r="W42" s="22">
        <f ca="1">ROUND('2. Top Down Revenue Model'!W35*'1. Bottom Up Revenue Model'!$B$17,'1. Bottom Up Revenue Model'!$A$86)</f>
        <v>440000</v>
      </c>
      <c r="X42" s="22">
        <f ca="1">ROUND('2. Top Down Revenue Model'!X35*'1. Bottom Up Revenue Model'!$B$17,'1. Bottom Up Revenue Model'!$A$86)</f>
        <v>200000</v>
      </c>
      <c r="Y42" s="22">
        <f ca="1">ROUND('2. Top Down Revenue Model'!Y35*'1. Bottom Up Revenue Model'!$B$17,'1. Bottom Up Revenue Model'!$A$86)</f>
        <v>160000</v>
      </c>
      <c r="Z42" s="22">
        <f ca="1">ROUND('2. Top Down Revenue Model'!Z35*'1. Bottom Up Revenue Model'!$B$17,'1. Bottom Up Revenue Model'!$A$86)</f>
        <v>340000</v>
      </c>
      <c r="AA42" s="22">
        <f ca="1">ROUND('2. Top Down Revenue Model'!AA35*'1. Bottom Up Revenue Model'!$B$17,'1. Bottom Up Revenue Model'!$A$86)</f>
        <v>580000</v>
      </c>
      <c r="AB42" s="22">
        <f ca="1">ROUND('2. Top Down Revenue Model'!AB35*'1. Bottom Up Revenue Model'!$B$17,'1. Bottom Up Revenue Model'!$A$86)</f>
        <v>440000</v>
      </c>
      <c r="AC42" s="22">
        <f ca="1">ROUND('2. Top Down Revenue Model'!AC35*'1. Bottom Up Revenue Model'!$B$17,'1. Bottom Up Revenue Model'!$A$86)</f>
        <v>1280000</v>
      </c>
      <c r="AD42" s="22">
        <f ca="1">ROUND('2. Top Down Revenue Model'!AD35*'1. Bottom Up Revenue Model'!$B$17,'1. Bottom Up Revenue Model'!$A$86)</f>
        <v>0</v>
      </c>
    </row>
    <row r="43" spans="1:30">
      <c r="D43" s="24"/>
      <c r="E43" s="17" t="s">
        <v>4</v>
      </c>
      <c r="F43" s="30"/>
      <c r="G43" s="10">
        <f ca="1">ROUND('2. Top Down Revenue Model'!G36*'1. Bottom Up Revenue Model'!$B$17,'1. Bottom Up Revenue Model'!$A$86)</f>
        <v>60000</v>
      </c>
      <c r="H43" s="10">
        <f ca="1">ROUND('2. Top Down Revenue Model'!H36*'1. Bottom Up Revenue Model'!$B$17,'1. Bottom Up Revenue Model'!$A$86)</f>
        <v>120000</v>
      </c>
      <c r="I43" s="10">
        <f ca="1">ROUND('2. Top Down Revenue Model'!I36*'1. Bottom Up Revenue Model'!$B$17,'1. Bottom Up Revenue Model'!$A$86)</f>
        <v>120000</v>
      </c>
      <c r="J43" s="10">
        <f ca="1">ROUND('2. Top Down Revenue Model'!J36*'1. Bottom Up Revenue Model'!$B$17,'1. Bottom Up Revenue Model'!$A$86)</f>
        <v>120000</v>
      </c>
      <c r="K43" s="10">
        <f ca="1">ROUND('2. Top Down Revenue Model'!K36*'1. Bottom Up Revenue Model'!$B$17,'1. Bottom Up Revenue Model'!$A$86)</f>
        <v>120000</v>
      </c>
      <c r="L43" s="10">
        <f ca="1">ROUND('2. Top Down Revenue Model'!L36*'1. Bottom Up Revenue Model'!$B$17,'1. Bottom Up Revenue Model'!$A$86)</f>
        <v>60000</v>
      </c>
      <c r="M43" s="10">
        <f ca="1">ROUND('2. Top Down Revenue Model'!M36*'1. Bottom Up Revenue Model'!$B$17,'1. Bottom Up Revenue Model'!$A$86)</f>
        <v>60000</v>
      </c>
      <c r="N43" s="10">
        <f ca="1">ROUND('2. Top Down Revenue Model'!N36*'1. Bottom Up Revenue Model'!$B$17,'1. Bottom Up Revenue Model'!$A$86)</f>
        <v>120000</v>
      </c>
      <c r="O43" s="10">
        <f ca="1">ROUND('2. Top Down Revenue Model'!O36*'1. Bottom Up Revenue Model'!$B$17,'1. Bottom Up Revenue Model'!$A$86)</f>
        <v>180000</v>
      </c>
      <c r="P43" s="10">
        <f ca="1">ROUND('2. Top Down Revenue Model'!P36*'1. Bottom Up Revenue Model'!$B$17,'1. Bottom Up Revenue Model'!$A$86)</f>
        <v>120000</v>
      </c>
      <c r="Q43" s="10">
        <f ca="1">ROUND('2. Top Down Revenue Model'!Q36*'1. Bottom Up Revenue Model'!$B$17,'1. Bottom Up Revenue Model'!$A$86)</f>
        <v>340000</v>
      </c>
      <c r="R43" s="10">
        <f ca="1">ROUND('2. Top Down Revenue Model'!R36*'1. Bottom Up Revenue Model'!$B$17,'1. Bottom Up Revenue Model'!$A$86)</f>
        <v>120000</v>
      </c>
      <c r="S43" s="22">
        <f ca="1">ROUND('2. Top Down Revenue Model'!S36*'1. Bottom Up Revenue Model'!$B$17,'1. Bottom Up Revenue Model'!$A$86)</f>
        <v>120000</v>
      </c>
      <c r="T43" s="22">
        <f ca="1">ROUND('2. Top Down Revenue Model'!T36*'1. Bottom Up Revenue Model'!$B$17,'1. Bottom Up Revenue Model'!$A$86)</f>
        <v>180000</v>
      </c>
      <c r="U43" s="22">
        <f ca="1">ROUND('2. Top Down Revenue Model'!U36*'1. Bottom Up Revenue Model'!$B$17,'1. Bottom Up Revenue Model'!$A$86)</f>
        <v>180000</v>
      </c>
      <c r="V43" s="22">
        <f ca="1">ROUND('2. Top Down Revenue Model'!V36*'1. Bottom Up Revenue Model'!$B$17,'1. Bottom Up Revenue Model'!$A$86)</f>
        <v>260000</v>
      </c>
      <c r="W43" s="22">
        <f ca="1">ROUND('2. Top Down Revenue Model'!W36*'1. Bottom Up Revenue Model'!$B$17,'1. Bottom Up Revenue Model'!$A$86)</f>
        <v>220000</v>
      </c>
      <c r="X43" s="22">
        <f ca="1">ROUND('2. Top Down Revenue Model'!X36*'1. Bottom Up Revenue Model'!$B$17,'1. Bottom Up Revenue Model'!$A$86)</f>
        <v>100000</v>
      </c>
      <c r="Y43" s="22">
        <f ca="1">ROUND('2. Top Down Revenue Model'!Y36*'1. Bottom Up Revenue Model'!$B$17,'1. Bottom Up Revenue Model'!$A$86)</f>
        <v>80000</v>
      </c>
      <c r="Z43" s="22">
        <f ca="1">ROUND('2. Top Down Revenue Model'!Z36*'1. Bottom Up Revenue Model'!$B$17,'1. Bottom Up Revenue Model'!$A$86)</f>
        <v>160000</v>
      </c>
      <c r="AA43" s="22">
        <f ca="1">ROUND('2. Top Down Revenue Model'!AA36*'1. Bottom Up Revenue Model'!$B$17,'1. Bottom Up Revenue Model'!$A$86)</f>
        <v>300000</v>
      </c>
      <c r="AB43" s="22">
        <f ca="1">ROUND('2. Top Down Revenue Model'!AB36*'1. Bottom Up Revenue Model'!$B$17,'1. Bottom Up Revenue Model'!$A$86)</f>
        <v>220000</v>
      </c>
      <c r="AC43" s="22">
        <f ca="1">ROUND('2. Top Down Revenue Model'!AC36*'1. Bottom Up Revenue Model'!$B$17,'1. Bottom Up Revenue Model'!$A$86)</f>
        <v>640000</v>
      </c>
      <c r="AD43" s="22">
        <f ca="1">ROUND('2. Top Down Revenue Model'!AD36*'1. Bottom Up Revenue Model'!$B$17,'1. Bottom Up Revenue Model'!$A$86)</f>
        <v>0</v>
      </c>
    </row>
    <row r="44" spans="1:30">
      <c r="D44" s="24"/>
      <c r="E44" s="17" t="s">
        <v>5</v>
      </c>
      <c r="F44" s="30"/>
      <c r="G44" s="10">
        <f ca="1">ROUND('2. Top Down Revenue Model'!G37*'1. Bottom Up Revenue Model'!$B$17,'1. Bottom Up Revenue Model'!$A$86)</f>
        <v>120000</v>
      </c>
      <c r="H44" s="10">
        <f ca="1">ROUND('2. Top Down Revenue Model'!H37*'1. Bottom Up Revenue Model'!$B$17,'1. Bottom Up Revenue Model'!$A$86)</f>
        <v>220000</v>
      </c>
      <c r="I44" s="10">
        <f ca="1">ROUND('2. Top Down Revenue Model'!I37*'1. Bottom Up Revenue Model'!$B$17,'1. Bottom Up Revenue Model'!$A$86)</f>
        <v>220000</v>
      </c>
      <c r="J44" s="10">
        <f ca="1">ROUND('2. Top Down Revenue Model'!J37*'1. Bottom Up Revenue Model'!$B$17,'1. Bottom Up Revenue Model'!$A$86)</f>
        <v>280000</v>
      </c>
      <c r="K44" s="10">
        <f ca="1">ROUND('2. Top Down Revenue Model'!K37*'1. Bottom Up Revenue Model'!$B$17,'1. Bottom Up Revenue Model'!$A$86)</f>
        <v>220000</v>
      </c>
      <c r="L44" s="10">
        <f ca="1">ROUND('2. Top Down Revenue Model'!L37*'1. Bottom Up Revenue Model'!$B$17,'1. Bottom Up Revenue Model'!$A$86)</f>
        <v>120000</v>
      </c>
      <c r="M44" s="10">
        <f ca="1">ROUND('2. Top Down Revenue Model'!M37*'1. Bottom Up Revenue Model'!$B$17,'1. Bottom Up Revenue Model'!$A$86)</f>
        <v>120000</v>
      </c>
      <c r="N44" s="10">
        <f ca="1">ROUND('2. Top Down Revenue Model'!N37*'1. Bottom Up Revenue Model'!$B$17,'1. Bottom Up Revenue Model'!$A$86)</f>
        <v>180000</v>
      </c>
      <c r="O44" s="10">
        <f ca="1">ROUND('2. Top Down Revenue Model'!O37*'1. Bottom Up Revenue Model'!$B$17,'1. Bottom Up Revenue Model'!$A$86)</f>
        <v>340000</v>
      </c>
      <c r="P44" s="10">
        <f ca="1">ROUND('2. Top Down Revenue Model'!P37*'1. Bottom Up Revenue Model'!$B$17,'1. Bottom Up Revenue Model'!$A$86)</f>
        <v>220000</v>
      </c>
      <c r="Q44" s="10">
        <f ca="1">ROUND('2. Top Down Revenue Model'!Q37*'1. Bottom Up Revenue Model'!$B$17,'1. Bottom Up Revenue Model'!$A$86)</f>
        <v>680000</v>
      </c>
      <c r="R44" s="10">
        <f ca="1">ROUND('2. Top Down Revenue Model'!R37*'1. Bottom Up Revenue Model'!$B$17,'1. Bottom Up Revenue Model'!$A$86)</f>
        <v>220000</v>
      </c>
      <c r="S44" s="22">
        <f ca="1">ROUND('2. Top Down Revenue Model'!S37*'1. Bottom Up Revenue Model'!$B$17,'1. Bottom Up Revenue Model'!$A$86)</f>
        <v>220000</v>
      </c>
      <c r="T44" s="22">
        <f ca="1">ROUND('2. Top Down Revenue Model'!T37*'1. Bottom Up Revenue Model'!$B$17,'1. Bottom Up Revenue Model'!$A$86)</f>
        <v>400000</v>
      </c>
      <c r="U44" s="22">
        <f ca="1">ROUND('2. Top Down Revenue Model'!U37*'1. Bottom Up Revenue Model'!$B$17,'1. Bottom Up Revenue Model'!$A$86)</f>
        <v>400000</v>
      </c>
      <c r="V44" s="22">
        <f ca="1">ROUND('2. Top Down Revenue Model'!V37*'1. Bottom Up Revenue Model'!$B$17,'1. Bottom Up Revenue Model'!$A$86)</f>
        <v>500000</v>
      </c>
      <c r="W44" s="22">
        <f ca="1">ROUND('2. Top Down Revenue Model'!W37*'1. Bottom Up Revenue Model'!$B$17,'1. Bottom Up Revenue Model'!$A$86)</f>
        <v>440000</v>
      </c>
      <c r="X44" s="22">
        <f ca="1">ROUND('2. Top Down Revenue Model'!X37*'1. Bottom Up Revenue Model'!$B$17,'1. Bottom Up Revenue Model'!$A$86)</f>
        <v>200000</v>
      </c>
      <c r="Y44" s="22">
        <f ca="1">ROUND('2. Top Down Revenue Model'!Y37*'1. Bottom Up Revenue Model'!$B$17,'1. Bottom Up Revenue Model'!$A$86)</f>
        <v>160000</v>
      </c>
      <c r="Z44" s="22">
        <f ca="1">ROUND('2. Top Down Revenue Model'!Z37*'1. Bottom Up Revenue Model'!$B$17,'1. Bottom Up Revenue Model'!$A$86)</f>
        <v>340000</v>
      </c>
      <c r="AA44" s="22">
        <f ca="1">ROUND('2. Top Down Revenue Model'!AA37*'1. Bottom Up Revenue Model'!$B$17,'1. Bottom Up Revenue Model'!$A$86)</f>
        <v>580000</v>
      </c>
      <c r="AB44" s="22">
        <f ca="1">ROUND('2. Top Down Revenue Model'!AB37*'1. Bottom Up Revenue Model'!$B$17,'1. Bottom Up Revenue Model'!$A$86)</f>
        <v>440000</v>
      </c>
      <c r="AC44" s="22">
        <f ca="1">ROUND('2. Top Down Revenue Model'!AC37*'1. Bottom Up Revenue Model'!$B$17,'1. Bottom Up Revenue Model'!$A$86)</f>
        <v>1280000</v>
      </c>
      <c r="AD44" s="22">
        <f ca="1">ROUND('2. Top Down Revenue Model'!AD37*'1. Bottom Up Revenue Model'!$B$17,'1. Bottom Up Revenue Model'!$A$86)</f>
        <v>0</v>
      </c>
    </row>
    <row r="45" spans="1:30">
      <c r="D45" s="27"/>
      <c r="E45" s="29"/>
      <c r="F45" s="30"/>
      <c r="G45" s="28"/>
      <c r="H45" s="28"/>
      <c r="I45" s="28"/>
      <c r="J45" s="28"/>
      <c r="K45" s="28"/>
      <c r="L45" s="28"/>
      <c r="M45" s="28"/>
      <c r="N45" s="28"/>
      <c r="O45" s="28"/>
      <c r="P45" s="28"/>
      <c r="Q45" s="28"/>
      <c r="R45" s="45"/>
      <c r="S45" s="20"/>
      <c r="T45" s="20"/>
      <c r="U45" s="20"/>
      <c r="V45" s="20"/>
      <c r="W45" s="20"/>
      <c r="X45" s="20"/>
      <c r="Y45" s="20"/>
      <c r="Z45" s="20"/>
      <c r="AA45" s="20"/>
      <c r="AB45" s="20"/>
      <c r="AC45" s="20"/>
      <c r="AD45" s="20"/>
    </row>
    <row r="46" spans="1:30">
      <c r="D46" s="24"/>
      <c r="E46" s="11" t="s">
        <v>12</v>
      </c>
      <c r="F46" s="91" t="e">
        <f ca="1">OFFSET(G46,0,#REF!)/G32</f>
        <v>#REF!</v>
      </c>
      <c r="G46" s="15">
        <f ca="1">SUM(G47:G51)</f>
        <v>10</v>
      </c>
      <c r="H46" s="15">
        <f t="shared" ref="H46:AD46" ca="1" si="22">SUM(H47:H51)</f>
        <v>11.199999999999998</v>
      </c>
      <c r="I46" s="15">
        <f t="shared" ca="1" si="22"/>
        <v>18.549999999999997</v>
      </c>
      <c r="J46" s="15">
        <f t="shared" ca="1" si="22"/>
        <v>19.599999999999998</v>
      </c>
      <c r="K46" s="15">
        <f t="shared" ca="1" si="22"/>
        <v>23.799999999999997</v>
      </c>
      <c r="L46" s="15">
        <f t="shared" ca="1" si="22"/>
        <v>19.599999999999998</v>
      </c>
      <c r="M46" s="15">
        <f t="shared" ca="1" si="22"/>
        <v>10.499999999999998</v>
      </c>
      <c r="N46" s="15">
        <f t="shared" ca="1" si="22"/>
        <v>9.4499999999999993</v>
      </c>
      <c r="O46" s="15">
        <f t="shared" ca="1" si="22"/>
        <v>16.45</v>
      </c>
      <c r="P46" s="15">
        <f t="shared" ca="1" si="22"/>
        <v>29.049999999999994</v>
      </c>
      <c r="Q46" s="15">
        <f t="shared" ca="1" si="22"/>
        <v>19.599999999999998</v>
      </c>
      <c r="R46" s="15">
        <f t="shared" ca="1" si="22"/>
        <v>60.54999999999999</v>
      </c>
      <c r="S46" s="21">
        <f t="shared" ca="1" si="22"/>
        <v>20</v>
      </c>
      <c r="T46" s="21">
        <f t="shared" ca="1" si="22"/>
        <v>20</v>
      </c>
      <c r="U46" s="21">
        <f t="shared" ca="1" si="22"/>
        <v>34</v>
      </c>
      <c r="V46" s="21">
        <f t="shared" ca="1" si="22"/>
        <v>34</v>
      </c>
      <c r="W46" s="21">
        <f t="shared" ca="1" si="22"/>
        <v>45</v>
      </c>
      <c r="X46" s="21">
        <f t="shared" ca="1" si="22"/>
        <v>39</v>
      </c>
      <c r="Y46" s="21">
        <f t="shared" ca="1" si="22"/>
        <v>19</v>
      </c>
      <c r="Z46" s="21">
        <f t="shared" ca="1" si="22"/>
        <v>14</v>
      </c>
      <c r="AA46" s="21">
        <f t="shared" ca="1" si="22"/>
        <v>30</v>
      </c>
      <c r="AB46" s="21">
        <f t="shared" ca="1" si="22"/>
        <v>50</v>
      </c>
      <c r="AC46" s="21">
        <f t="shared" ca="1" si="22"/>
        <v>39</v>
      </c>
      <c r="AD46" s="21">
        <f t="shared" ca="1" si="22"/>
        <v>111</v>
      </c>
    </row>
    <row r="47" spans="1:30">
      <c r="D47" s="24"/>
      <c r="E47" s="17" t="s">
        <v>1</v>
      </c>
      <c r="F47" s="66">
        <v>0.35</v>
      </c>
      <c r="G47" s="97">
        <f ca="1">IF(('1. Bottom Up Revenue Model'!$B$18)&gt;G$79,'1. Bottom Up Revenue Model'!G47,(OFFSET(G33,0,-'1. Bottom Up Revenue Model'!$B$18)*'2. Top Down Revenue Model'!$F47))</f>
        <v>2</v>
      </c>
      <c r="H47" s="97">
        <f ca="1">IF(('1. Bottom Up Revenue Model'!$B$18)&gt;H$79,'1. Bottom Up Revenue Model'!H47,(OFFSET(H33,0,-'1. Bottom Up Revenue Model'!$B$18)*'2. Top Down Revenue Model'!$F47))</f>
        <v>2.0999999999999996</v>
      </c>
      <c r="I47" s="97">
        <f ca="1">IF(('1. Bottom Up Revenue Model'!$B$18)&gt;I$79,'1. Bottom Up Revenue Model'!I47,(OFFSET(I33,0,-'1. Bottom Up Revenue Model'!$B$18)*'2. Top Down Revenue Model'!$F47))</f>
        <v>3.8499999999999996</v>
      </c>
      <c r="J47" s="97">
        <f ca="1">IF(('1. Bottom Up Revenue Model'!$B$18)&gt;J$79,'1. Bottom Up Revenue Model'!J47,(OFFSET(J33,0,-'1. Bottom Up Revenue Model'!$B$18)*'2. Top Down Revenue Model'!$F47))</f>
        <v>3.8499999999999996</v>
      </c>
      <c r="K47" s="97">
        <f ca="1">IF(('1. Bottom Up Revenue Model'!$B$18)&gt;K$79,'1. Bottom Up Revenue Model'!K47,(OFFSET(K33,0,-'1. Bottom Up Revenue Model'!$B$18)*'2. Top Down Revenue Model'!$F47))</f>
        <v>4.8999999999999995</v>
      </c>
      <c r="L47" s="97">
        <f ca="1">IF(('1. Bottom Up Revenue Model'!$B$18)&gt;L$79,'1. Bottom Up Revenue Model'!L47,(OFFSET(L33,0,-'1. Bottom Up Revenue Model'!$B$18)*'2. Top Down Revenue Model'!$F47))</f>
        <v>3.8499999999999996</v>
      </c>
      <c r="M47" s="97">
        <f ca="1">IF(('1. Bottom Up Revenue Model'!$B$18)&gt;M$79,'1. Bottom Up Revenue Model'!M47,(OFFSET(M33,0,-'1. Bottom Up Revenue Model'!$B$18)*'2. Top Down Revenue Model'!$F47))</f>
        <v>2.0999999999999996</v>
      </c>
      <c r="N47" s="97">
        <f ca="1">IF(('1. Bottom Up Revenue Model'!$B$18)&gt;N$79,'1. Bottom Up Revenue Model'!N47,(OFFSET(N33,0,-'1. Bottom Up Revenue Model'!$B$18)*'2. Top Down Revenue Model'!$F47))</f>
        <v>2.0999999999999996</v>
      </c>
      <c r="O47" s="97">
        <f ca="1">IF(('1. Bottom Up Revenue Model'!$B$18)&gt;O$79,'1. Bottom Up Revenue Model'!O47,(OFFSET(O33,0,-'1. Bottom Up Revenue Model'!$B$18)*'2. Top Down Revenue Model'!$F47))</f>
        <v>3.15</v>
      </c>
      <c r="P47" s="97">
        <f ca="1">IF(('1. Bottom Up Revenue Model'!$B$18)&gt;P$79,'1. Bottom Up Revenue Model'!P47,(OFFSET(P33,0,-'1. Bottom Up Revenue Model'!$B$18)*'2. Top Down Revenue Model'!$F47))</f>
        <v>5.9499999999999993</v>
      </c>
      <c r="Q47" s="97">
        <f ca="1">IF(('1. Bottom Up Revenue Model'!$B$18)&gt;Q$79,'1. Bottom Up Revenue Model'!Q47,(OFFSET(Q33,0,-'1. Bottom Up Revenue Model'!$B$18)*'2. Top Down Revenue Model'!$F47))</f>
        <v>3.8499999999999996</v>
      </c>
      <c r="R47" s="97">
        <f ca="1">IF(('1. Bottom Up Revenue Model'!$B$18)&gt;R$79,'1. Bottom Up Revenue Model'!R47,(OFFSET(R33,0,-'1. Bottom Up Revenue Model'!$B$18)*'2. Top Down Revenue Model'!$F47))</f>
        <v>11.899999999999999</v>
      </c>
      <c r="S47" s="21">
        <f ca="1">ROUND(OFFSET(S33,0,-'1. Bottom Up Revenue Model'!$B$18)*'2. Top Down Revenue Model'!$F47,0)</f>
        <v>4</v>
      </c>
      <c r="T47" s="21">
        <f ca="1">ROUND(OFFSET(T33,0,-'1. Bottom Up Revenue Model'!$B$18)*'2. Top Down Revenue Model'!$F47,0)</f>
        <v>4</v>
      </c>
      <c r="U47" s="21">
        <f ca="1">ROUND(OFFSET(U33,0,-'1. Bottom Up Revenue Model'!$B$18)*'2. Top Down Revenue Model'!$F47,0)</f>
        <v>7</v>
      </c>
      <c r="V47" s="21">
        <f ca="1">ROUND(OFFSET(V33,0,-'1. Bottom Up Revenue Model'!$B$18)*'2. Top Down Revenue Model'!$F47,0)</f>
        <v>7</v>
      </c>
      <c r="W47" s="21">
        <f ca="1">ROUND(OFFSET(W33,0,-'1. Bottom Up Revenue Model'!$B$18)*'2. Top Down Revenue Model'!$F47,0)</f>
        <v>9</v>
      </c>
      <c r="X47" s="21">
        <f ca="1">ROUND(OFFSET(X33,0,-'1. Bottom Up Revenue Model'!$B$18)*'2. Top Down Revenue Model'!$F47,0)</f>
        <v>8</v>
      </c>
      <c r="Y47" s="21">
        <f ca="1">ROUND(OFFSET(Y33,0,-'1. Bottom Up Revenue Model'!$B$18)*'2. Top Down Revenue Model'!$F47,0)</f>
        <v>4</v>
      </c>
      <c r="Z47" s="21">
        <f ca="1">ROUND(OFFSET(Z33,0,-'1. Bottom Up Revenue Model'!$B$18)*'2. Top Down Revenue Model'!$F47,0)</f>
        <v>3</v>
      </c>
      <c r="AA47" s="21">
        <f ca="1">ROUND(OFFSET(AA33,0,-'1. Bottom Up Revenue Model'!$B$18)*'2. Top Down Revenue Model'!$F47,0)</f>
        <v>6</v>
      </c>
      <c r="AB47" s="21">
        <f ca="1">ROUND(OFFSET(AB33,0,-'1. Bottom Up Revenue Model'!$B$18)*'2. Top Down Revenue Model'!$F47,0)</f>
        <v>10</v>
      </c>
      <c r="AC47" s="21">
        <f ca="1">ROUND(OFFSET(AC33,0,-'1. Bottom Up Revenue Model'!$B$18)*'2. Top Down Revenue Model'!$F47,0)</f>
        <v>8</v>
      </c>
      <c r="AD47" s="21">
        <f ca="1">ROUND(OFFSET(AD33,0,-'1. Bottom Up Revenue Model'!$B$18)*'2. Top Down Revenue Model'!$F47,0)</f>
        <v>22</v>
      </c>
    </row>
    <row r="48" spans="1:30">
      <c r="D48" s="24"/>
      <c r="E48" s="17" t="s">
        <v>2</v>
      </c>
      <c r="F48" s="66">
        <v>0.35</v>
      </c>
      <c r="G48" s="97">
        <f ca="1">IF(('1. Bottom Up Revenue Model'!$B$18)&gt;G$79,'1. Bottom Up Revenue Model'!G48,(OFFSET(G34,0,-'1. Bottom Up Revenue Model'!$B$18)*'2. Top Down Revenue Model'!$F48))</f>
        <v>3</v>
      </c>
      <c r="H48" s="97">
        <f ca="1">IF(('1. Bottom Up Revenue Model'!$B$18)&gt;H$79,'1. Bottom Up Revenue Model'!H48,(OFFSET(H34,0,-'1. Bottom Up Revenue Model'!$B$18)*'2. Top Down Revenue Model'!$F48))</f>
        <v>3.8499999999999996</v>
      </c>
      <c r="I48" s="97">
        <f ca="1">IF(('1. Bottom Up Revenue Model'!$B$18)&gt;I$79,'1. Bottom Up Revenue Model'!I48,(OFFSET(I34,0,-'1. Bottom Up Revenue Model'!$B$18)*'2. Top Down Revenue Model'!$F48))</f>
        <v>4.8999999999999995</v>
      </c>
      <c r="J48" s="97">
        <f ca="1">IF(('1. Bottom Up Revenue Model'!$B$18)&gt;J$79,'1. Bottom Up Revenue Model'!J48,(OFFSET(J34,0,-'1. Bottom Up Revenue Model'!$B$18)*'2. Top Down Revenue Model'!$F48))</f>
        <v>5.9499999999999993</v>
      </c>
      <c r="K48" s="97">
        <f ca="1">IF(('1. Bottom Up Revenue Model'!$B$18)&gt;K$79,'1. Bottom Up Revenue Model'!K48,(OFFSET(K34,0,-'1. Bottom Up Revenue Model'!$B$18)*'2. Top Down Revenue Model'!$F48))</f>
        <v>7</v>
      </c>
      <c r="L48" s="97">
        <f ca="1">IF(('1. Bottom Up Revenue Model'!$B$18)&gt;L$79,'1. Bottom Up Revenue Model'!L48,(OFFSET(L34,0,-'1. Bottom Up Revenue Model'!$B$18)*'2. Top Down Revenue Model'!$F48))</f>
        <v>5.9499999999999993</v>
      </c>
      <c r="M48" s="97">
        <f ca="1">IF(('1. Bottom Up Revenue Model'!$B$18)&gt;M$79,'1. Bottom Up Revenue Model'!M48,(OFFSET(M34,0,-'1. Bottom Up Revenue Model'!$B$18)*'2. Top Down Revenue Model'!$F48))</f>
        <v>3.15</v>
      </c>
      <c r="N48" s="97">
        <f ca="1">IF(('1. Bottom Up Revenue Model'!$B$18)&gt;N$79,'1. Bottom Up Revenue Model'!N48,(OFFSET(N34,0,-'1. Bottom Up Revenue Model'!$B$18)*'2. Top Down Revenue Model'!$F48))</f>
        <v>2.0999999999999996</v>
      </c>
      <c r="O48" s="97">
        <f ca="1">IF(('1. Bottom Up Revenue Model'!$B$18)&gt;O$79,'1. Bottom Up Revenue Model'!O48,(OFFSET(O34,0,-'1. Bottom Up Revenue Model'!$B$18)*'2. Top Down Revenue Model'!$F48))</f>
        <v>4.8999999999999995</v>
      </c>
      <c r="P48" s="97">
        <f ca="1">IF(('1. Bottom Up Revenue Model'!$B$18)&gt;P$79,'1. Bottom Up Revenue Model'!P48,(OFFSET(P34,0,-'1. Bottom Up Revenue Model'!$B$18)*'2. Top Down Revenue Model'!$F48))</f>
        <v>8.0499999999999989</v>
      </c>
      <c r="Q48" s="97">
        <f ca="1">IF(('1. Bottom Up Revenue Model'!$B$18)&gt;Q$79,'1. Bottom Up Revenue Model'!Q48,(OFFSET(Q34,0,-'1. Bottom Up Revenue Model'!$B$18)*'2. Top Down Revenue Model'!$F48))</f>
        <v>5.9499999999999993</v>
      </c>
      <c r="R48" s="97">
        <f ca="1">IF(('1. Bottom Up Revenue Model'!$B$18)&gt;R$79,'1. Bottom Up Revenue Model'!R48,(OFFSET(R34,0,-'1. Bottom Up Revenue Model'!$B$18)*'2. Top Down Revenue Model'!$F48))</f>
        <v>18.899999999999999</v>
      </c>
      <c r="S48" s="21">
        <f ca="1">ROUND(OFFSET(S34,0,-'1. Bottom Up Revenue Model'!$B$18)*'2. Top Down Revenue Model'!$F48,0)</f>
        <v>6</v>
      </c>
      <c r="T48" s="21">
        <f ca="1">ROUND(OFFSET(T34,0,-'1. Bottom Up Revenue Model'!$B$18)*'2. Top Down Revenue Model'!$F48,0)</f>
        <v>6</v>
      </c>
      <c r="U48" s="21">
        <f ca="1">ROUND(OFFSET(U34,0,-'1. Bottom Up Revenue Model'!$B$18)*'2. Top Down Revenue Model'!$F48,0)</f>
        <v>10</v>
      </c>
      <c r="V48" s="21">
        <f ca="1">ROUND(OFFSET(V34,0,-'1. Bottom Up Revenue Model'!$B$18)*'2. Top Down Revenue Model'!$F48,0)</f>
        <v>10</v>
      </c>
      <c r="W48" s="21">
        <f ca="1">ROUND(OFFSET(W34,0,-'1. Bottom Up Revenue Model'!$B$18)*'2. Top Down Revenue Model'!$F48,0)</f>
        <v>13</v>
      </c>
      <c r="X48" s="21">
        <f ca="1">ROUND(OFFSET(X34,0,-'1. Bottom Up Revenue Model'!$B$18)*'2. Top Down Revenue Model'!$F48,0)</f>
        <v>11</v>
      </c>
      <c r="Y48" s="21">
        <f ca="1">ROUND(OFFSET(Y34,0,-'1. Bottom Up Revenue Model'!$B$18)*'2. Top Down Revenue Model'!$F48,0)</f>
        <v>5</v>
      </c>
      <c r="Z48" s="21">
        <f ca="1">ROUND(OFFSET(Z34,0,-'1. Bottom Up Revenue Model'!$B$18)*'2. Top Down Revenue Model'!$F48,0)</f>
        <v>4</v>
      </c>
      <c r="AA48" s="21">
        <f ca="1">ROUND(OFFSET(AA34,0,-'1. Bottom Up Revenue Model'!$B$18)*'2. Top Down Revenue Model'!$F48,0)</f>
        <v>9</v>
      </c>
      <c r="AB48" s="21">
        <f ca="1">ROUND(OFFSET(AB34,0,-'1. Bottom Up Revenue Model'!$B$18)*'2. Top Down Revenue Model'!$F48,0)</f>
        <v>15</v>
      </c>
      <c r="AC48" s="21">
        <f ca="1">ROUND(OFFSET(AC34,0,-'1. Bottom Up Revenue Model'!$B$18)*'2. Top Down Revenue Model'!$F48,0)</f>
        <v>11</v>
      </c>
      <c r="AD48" s="21">
        <f ca="1">ROUND(OFFSET(AD34,0,-'1. Bottom Up Revenue Model'!$B$18)*'2. Top Down Revenue Model'!$F48,0)</f>
        <v>34</v>
      </c>
    </row>
    <row r="49" spans="1:30">
      <c r="D49" s="24"/>
      <c r="E49" s="17" t="s">
        <v>3</v>
      </c>
      <c r="F49" s="66">
        <v>0.35</v>
      </c>
      <c r="G49" s="97">
        <f ca="1">IF(('1. Bottom Up Revenue Model'!$B$18)&gt;G$79,'1. Bottom Up Revenue Model'!G49,(OFFSET(G35,0,-'1. Bottom Up Revenue Model'!$B$18)*'2. Top Down Revenue Model'!$F49))</f>
        <v>2</v>
      </c>
      <c r="H49" s="97">
        <f ca="1">IF(('1. Bottom Up Revenue Model'!$B$18)&gt;H$79,'1. Bottom Up Revenue Model'!H49,(OFFSET(H35,0,-'1. Bottom Up Revenue Model'!$B$18)*'2. Top Down Revenue Model'!$F49))</f>
        <v>2.0999999999999996</v>
      </c>
      <c r="I49" s="97">
        <f ca="1">IF(('1. Bottom Up Revenue Model'!$B$18)&gt;I$79,'1. Bottom Up Revenue Model'!I49,(OFFSET(I35,0,-'1. Bottom Up Revenue Model'!$B$18)*'2. Top Down Revenue Model'!$F49))</f>
        <v>3.8499999999999996</v>
      </c>
      <c r="J49" s="97">
        <f ca="1">IF(('1. Bottom Up Revenue Model'!$B$18)&gt;J$79,'1. Bottom Up Revenue Model'!J49,(OFFSET(J35,0,-'1. Bottom Up Revenue Model'!$B$18)*'2. Top Down Revenue Model'!$F49))</f>
        <v>3.8499999999999996</v>
      </c>
      <c r="K49" s="97">
        <f ca="1">IF(('1. Bottom Up Revenue Model'!$B$18)&gt;K$79,'1. Bottom Up Revenue Model'!K49,(OFFSET(K35,0,-'1. Bottom Up Revenue Model'!$B$18)*'2. Top Down Revenue Model'!$F49))</f>
        <v>4.8999999999999995</v>
      </c>
      <c r="L49" s="97">
        <f ca="1">IF(('1. Bottom Up Revenue Model'!$B$18)&gt;L$79,'1. Bottom Up Revenue Model'!L49,(OFFSET(L35,0,-'1. Bottom Up Revenue Model'!$B$18)*'2. Top Down Revenue Model'!$F49))</f>
        <v>3.8499999999999996</v>
      </c>
      <c r="M49" s="97">
        <f ca="1">IF(('1. Bottom Up Revenue Model'!$B$18)&gt;M$79,'1. Bottom Up Revenue Model'!M49,(OFFSET(M35,0,-'1. Bottom Up Revenue Model'!$B$18)*'2. Top Down Revenue Model'!$F49))</f>
        <v>2.0999999999999996</v>
      </c>
      <c r="N49" s="97">
        <f ca="1">IF(('1. Bottom Up Revenue Model'!$B$18)&gt;N$79,'1. Bottom Up Revenue Model'!N49,(OFFSET(N35,0,-'1. Bottom Up Revenue Model'!$B$18)*'2. Top Down Revenue Model'!$F49))</f>
        <v>2.0999999999999996</v>
      </c>
      <c r="O49" s="97">
        <f ca="1">IF(('1. Bottom Up Revenue Model'!$B$18)&gt;O$79,'1. Bottom Up Revenue Model'!O49,(OFFSET(O35,0,-'1. Bottom Up Revenue Model'!$B$18)*'2. Top Down Revenue Model'!$F49))</f>
        <v>3.15</v>
      </c>
      <c r="P49" s="97">
        <f ca="1">IF(('1. Bottom Up Revenue Model'!$B$18)&gt;P$79,'1. Bottom Up Revenue Model'!P49,(OFFSET(P35,0,-'1. Bottom Up Revenue Model'!$B$18)*'2. Top Down Revenue Model'!$F49))</f>
        <v>5.9499999999999993</v>
      </c>
      <c r="Q49" s="97">
        <f ca="1">IF(('1. Bottom Up Revenue Model'!$B$18)&gt;Q$79,'1. Bottom Up Revenue Model'!Q49,(OFFSET(Q35,0,-'1. Bottom Up Revenue Model'!$B$18)*'2. Top Down Revenue Model'!$F49))</f>
        <v>3.8499999999999996</v>
      </c>
      <c r="R49" s="97">
        <f ca="1">IF(('1. Bottom Up Revenue Model'!$B$18)&gt;R$79,'1. Bottom Up Revenue Model'!R49,(OFFSET(R35,0,-'1. Bottom Up Revenue Model'!$B$18)*'2. Top Down Revenue Model'!$F49))</f>
        <v>11.899999999999999</v>
      </c>
      <c r="S49" s="21">
        <f ca="1">ROUND(OFFSET(S35,0,-'1. Bottom Up Revenue Model'!$B$18)*'2. Top Down Revenue Model'!$F49,0)</f>
        <v>4</v>
      </c>
      <c r="T49" s="21">
        <f ca="1">ROUND(OFFSET(T35,0,-'1. Bottom Up Revenue Model'!$B$18)*'2. Top Down Revenue Model'!$F49,0)</f>
        <v>4</v>
      </c>
      <c r="U49" s="21">
        <f ca="1">ROUND(OFFSET(U35,0,-'1. Bottom Up Revenue Model'!$B$18)*'2. Top Down Revenue Model'!$F49,0)</f>
        <v>7</v>
      </c>
      <c r="V49" s="21">
        <f ca="1">ROUND(OFFSET(V35,0,-'1. Bottom Up Revenue Model'!$B$18)*'2. Top Down Revenue Model'!$F49,0)</f>
        <v>7</v>
      </c>
      <c r="W49" s="21">
        <f ca="1">ROUND(OFFSET(W35,0,-'1. Bottom Up Revenue Model'!$B$18)*'2. Top Down Revenue Model'!$F49,0)</f>
        <v>9</v>
      </c>
      <c r="X49" s="21">
        <f ca="1">ROUND(OFFSET(X35,0,-'1. Bottom Up Revenue Model'!$B$18)*'2. Top Down Revenue Model'!$F49,0)</f>
        <v>8</v>
      </c>
      <c r="Y49" s="21">
        <f ca="1">ROUND(OFFSET(Y35,0,-'1. Bottom Up Revenue Model'!$B$18)*'2. Top Down Revenue Model'!$F49,0)</f>
        <v>4</v>
      </c>
      <c r="Z49" s="21">
        <f ca="1">ROUND(OFFSET(Z35,0,-'1. Bottom Up Revenue Model'!$B$18)*'2. Top Down Revenue Model'!$F49,0)</f>
        <v>3</v>
      </c>
      <c r="AA49" s="21">
        <f ca="1">ROUND(OFFSET(AA35,0,-'1. Bottom Up Revenue Model'!$B$18)*'2. Top Down Revenue Model'!$F49,0)</f>
        <v>6</v>
      </c>
      <c r="AB49" s="21">
        <f ca="1">ROUND(OFFSET(AB35,0,-'1. Bottom Up Revenue Model'!$B$18)*'2. Top Down Revenue Model'!$F49,0)</f>
        <v>10</v>
      </c>
      <c r="AC49" s="21">
        <f ca="1">ROUND(OFFSET(AC35,0,-'1. Bottom Up Revenue Model'!$B$18)*'2. Top Down Revenue Model'!$F49,0)</f>
        <v>8</v>
      </c>
      <c r="AD49" s="21">
        <f ca="1">ROUND(OFFSET(AD35,0,-'1. Bottom Up Revenue Model'!$B$18)*'2. Top Down Revenue Model'!$F49,0)</f>
        <v>22</v>
      </c>
    </row>
    <row r="50" spans="1:30">
      <c r="D50" s="24"/>
      <c r="E50" s="17" t="s">
        <v>4</v>
      </c>
      <c r="F50" s="66">
        <v>0.35</v>
      </c>
      <c r="G50" s="97">
        <f ca="1">IF(('1. Bottom Up Revenue Model'!$B$18)&gt;G$79,'1. Bottom Up Revenue Model'!G50,(OFFSET(G36,0,-'1. Bottom Up Revenue Model'!$B$18)*'2. Top Down Revenue Model'!$F50))</f>
        <v>1</v>
      </c>
      <c r="H50" s="97">
        <f ca="1">IF(('1. Bottom Up Revenue Model'!$B$18)&gt;H$79,'1. Bottom Up Revenue Model'!H50,(OFFSET(H36,0,-'1. Bottom Up Revenue Model'!$B$18)*'2. Top Down Revenue Model'!$F50))</f>
        <v>1.0499999999999998</v>
      </c>
      <c r="I50" s="97">
        <f ca="1">IF(('1. Bottom Up Revenue Model'!$B$18)&gt;I$79,'1. Bottom Up Revenue Model'!I50,(OFFSET(I36,0,-'1. Bottom Up Revenue Model'!$B$18)*'2. Top Down Revenue Model'!$F50))</f>
        <v>2.0999999999999996</v>
      </c>
      <c r="J50" s="97">
        <f ca="1">IF(('1. Bottom Up Revenue Model'!$B$18)&gt;J$79,'1. Bottom Up Revenue Model'!J50,(OFFSET(J36,0,-'1. Bottom Up Revenue Model'!$B$18)*'2. Top Down Revenue Model'!$F50))</f>
        <v>2.0999999999999996</v>
      </c>
      <c r="K50" s="97">
        <f ca="1">IF(('1. Bottom Up Revenue Model'!$B$18)&gt;K$79,'1. Bottom Up Revenue Model'!K50,(OFFSET(K36,0,-'1. Bottom Up Revenue Model'!$B$18)*'2. Top Down Revenue Model'!$F50))</f>
        <v>2.0999999999999996</v>
      </c>
      <c r="L50" s="97">
        <f ca="1">IF(('1. Bottom Up Revenue Model'!$B$18)&gt;L$79,'1. Bottom Up Revenue Model'!L50,(OFFSET(L36,0,-'1. Bottom Up Revenue Model'!$B$18)*'2. Top Down Revenue Model'!$F50))</f>
        <v>2.0999999999999996</v>
      </c>
      <c r="M50" s="97">
        <f ca="1">IF(('1. Bottom Up Revenue Model'!$B$18)&gt;M$79,'1. Bottom Up Revenue Model'!M50,(OFFSET(M36,0,-'1. Bottom Up Revenue Model'!$B$18)*'2. Top Down Revenue Model'!$F50))</f>
        <v>1.0499999999999998</v>
      </c>
      <c r="N50" s="97">
        <f ca="1">IF(('1. Bottom Up Revenue Model'!$B$18)&gt;N$79,'1. Bottom Up Revenue Model'!N50,(OFFSET(N36,0,-'1. Bottom Up Revenue Model'!$B$18)*'2. Top Down Revenue Model'!$F50))</f>
        <v>1.0499999999999998</v>
      </c>
      <c r="O50" s="97">
        <f ca="1">IF(('1. Bottom Up Revenue Model'!$B$18)&gt;O$79,'1. Bottom Up Revenue Model'!O50,(OFFSET(O36,0,-'1. Bottom Up Revenue Model'!$B$18)*'2. Top Down Revenue Model'!$F50))</f>
        <v>2.0999999999999996</v>
      </c>
      <c r="P50" s="97">
        <f ca="1">IF(('1. Bottom Up Revenue Model'!$B$18)&gt;P$79,'1. Bottom Up Revenue Model'!P50,(OFFSET(P36,0,-'1. Bottom Up Revenue Model'!$B$18)*'2. Top Down Revenue Model'!$F50))</f>
        <v>3.15</v>
      </c>
      <c r="Q50" s="97">
        <f ca="1">IF(('1. Bottom Up Revenue Model'!$B$18)&gt;Q$79,'1. Bottom Up Revenue Model'!Q50,(OFFSET(Q36,0,-'1. Bottom Up Revenue Model'!$B$18)*'2. Top Down Revenue Model'!$F50))</f>
        <v>2.0999999999999996</v>
      </c>
      <c r="R50" s="97">
        <f ca="1">IF(('1. Bottom Up Revenue Model'!$B$18)&gt;R$79,'1. Bottom Up Revenue Model'!R50,(OFFSET(R36,0,-'1. Bottom Up Revenue Model'!$B$18)*'2. Top Down Revenue Model'!$F50))</f>
        <v>5.9499999999999993</v>
      </c>
      <c r="S50" s="21">
        <f ca="1">ROUND(OFFSET(S36,0,-'1. Bottom Up Revenue Model'!$B$18)*'2. Top Down Revenue Model'!$F50,0)</f>
        <v>2</v>
      </c>
      <c r="T50" s="21">
        <f ca="1">ROUND(OFFSET(T36,0,-'1. Bottom Up Revenue Model'!$B$18)*'2. Top Down Revenue Model'!$F50,0)</f>
        <v>2</v>
      </c>
      <c r="U50" s="21">
        <f ca="1">ROUND(OFFSET(U36,0,-'1. Bottom Up Revenue Model'!$B$18)*'2. Top Down Revenue Model'!$F50,0)</f>
        <v>3</v>
      </c>
      <c r="V50" s="21">
        <f ca="1">ROUND(OFFSET(V36,0,-'1. Bottom Up Revenue Model'!$B$18)*'2. Top Down Revenue Model'!$F50,0)</f>
        <v>3</v>
      </c>
      <c r="W50" s="21">
        <f ca="1">ROUND(OFFSET(W36,0,-'1. Bottom Up Revenue Model'!$B$18)*'2. Top Down Revenue Model'!$F50,0)</f>
        <v>5</v>
      </c>
      <c r="X50" s="21">
        <f ca="1">ROUND(OFFSET(X36,0,-'1. Bottom Up Revenue Model'!$B$18)*'2. Top Down Revenue Model'!$F50,0)</f>
        <v>4</v>
      </c>
      <c r="Y50" s="21">
        <f ca="1">ROUND(OFFSET(Y36,0,-'1. Bottom Up Revenue Model'!$B$18)*'2. Top Down Revenue Model'!$F50,0)</f>
        <v>2</v>
      </c>
      <c r="Z50" s="21">
        <f ca="1">ROUND(OFFSET(Z36,0,-'1. Bottom Up Revenue Model'!$B$18)*'2. Top Down Revenue Model'!$F50,0)</f>
        <v>1</v>
      </c>
      <c r="AA50" s="21">
        <f ca="1">ROUND(OFFSET(AA36,0,-'1. Bottom Up Revenue Model'!$B$18)*'2. Top Down Revenue Model'!$F50,0)</f>
        <v>3</v>
      </c>
      <c r="AB50" s="21">
        <f ca="1">ROUND(OFFSET(AB36,0,-'1. Bottom Up Revenue Model'!$B$18)*'2. Top Down Revenue Model'!$F50,0)</f>
        <v>5</v>
      </c>
      <c r="AC50" s="21">
        <f ca="1">ROUND(OFFSET(AC36,0,-'1. Bottom Up Revenue Model'!$B$18)*'2. Top Down Revenue Model'!$F50,0)</f>
        <v>4</v>
      </c>
      <c r="AD50" s="21">
        <f ca="1">ROUND(OFFSET(AD36,0,-'1. Bottom Up Revenue Model'!$B$18)*'2. Top Down Revenue Model'!$F50,0)</f>
        <v>11</v>
      </c>
    </row>
    <row r="51" spans="1:30">
      <c r="D51" s="24"/>
      <c r="E51" s="17" t="s">
        <v>5</v>
      </c>
      <c r="F51" s="66">
        <v>0.35</v>
      </c>
      <c r="G51" s="97">
        <f ca="1">IF(('1. Bottom Up Revenue Model'!$B$18)&gt;G$79,'1. Bottom Up Revenue Model'!G51,(OFFSET(G37,0,-'1. Bottom Up Revenue Model'!$B$18)*'2. Top Down Revenue Model'!$F51))</f>
        <v>2</v>
      </c>
      <c r="H51" s="97">
        <f ca="1">IF(('1. Bottom Up Revenue Model'!$B$18)&gt;H$79,'1. Bottom Up Revenue Model'!H51,(OFFSET(H37,0,-'1. Bottom Up Revenue Model'!$B$18)*'2. Top Down Revenue Model'!$F51))</f>
        <v>2.0999999999999996</v>
      </c>
      <c r="I51" s="97">
        <f ca="1">IF(('1. Bottom Up Revenue Model'!$B$18)&gt;I$79,'1. Bottom Up Revenue Model'!I51,(OFFSET(I37,0,-'1. Bottom Up Revenue Model'!$B$18)*'2. Top Down Revenue Model'!$F51))</f>
        <v>3.8499999999999996</v>
      </c>
      <c r="J51" s="97">
        <f ca="1">IF(('1. Bottom Up Revenue Model'!$B$18)&gt;J$79,'1. Bottom Up Revenue Model'!J51,(OFFSET(J37,0,-'1. Bottom Up Revenue Model'!$B$18)*'2. Top Down Revenue Model'!$F51))</f>
        <v>3.8499999999999996</v>
      </c>
      <c r="K51" s="97">
        <f ca="1">IF(('1. Bottom Up Revenue Model'!$B$18)&gt;K$79,'1. Bottom Up Revenue Model'!K51,(OFFSET(K37,0,-'1. Bottom Up Revenue Model'!$B$18)*'2. Top Down Revenue Model'!$F51))</f>
        <v>4.8999999999999995</v>
      </c>
      <c r="L51" s="97">
        <f ca="1">IF(('1. Bottom Up Revenue Model'!$B$18)&gt;L$79,'1. Bottom Up Revenue Model'!L51,(OFFSET(L37,0,-'1. Bottom Up Revenue Model'!$B$18)*'2. Top Down Revenue Model'!$F51))</f>
        <v>3.8499999999999996</v>
      </c>
      <c r="M51" s="97">
        <f ca="1">IF(('1. Bottom Up Revenue Model'!$B$18)&gt;M$79,'1. Bottom Up Revenue Model'!M51,(OFFSET(M37,0,-'1. Bottom Up Revenue Model'!$B$18)*'2. Top Down Revenue Model'!$F51))</f>
        <v>2.0999999999999996</v>
      </c>
      <c r="N51" s="97">
        <f ca="1">IF(('1. Bottom Up Revenue Model'!$B$18)&gt;N$79,'1. Bottom Up Revenue Model'!N51,(OFFSET(N37,0,-'1. Bottom Up Revenue Model'!$B$18)*'2. Top Down Revenue Model'!$F51))</f>
        <v>2.0999999999999996</v>
      </c>
      <c r="O51" s="97">
        <f ca="1">IF(('1. Bottom Up Revenue Model'!$B$18)&gt;O$79,'1. Bottom Up Revenue Model'!O51,(OFFSET(O37,0,-'1. Bottom Up Revenue Model'!$B$18)*'2. Top Down Revenue Model'!$F51))</f>
        <v>3.15</v>
      </c>
      <c r="P51" s="97">
        <f ca="1">IF(('1. Bottom Up Revenue Model'!$B$18)&gt;P$79,'1. Bottom Up Revenue Model'!P51,(OFFSET(P37,0,-'1. Bottom Up Revenue Model'!$B$18)*'2. Top Down Revenue Model'!$F51))</f>
        <v>5.9499999999999993</v>
      </c>
      <c r="Q51" s="97">
        <f ca="1">IF(('1. Bottom Up Revenue Model'!$B$18)&gt;Q$79,'1. Bottom Up Revenue Model'!Q51,(OFFSET(Q37,0,-'1. Bottom Up Revenue Model'!$B$18)*'2. Top Down Revenue Model'!$F51))</f>
        <v>3.8499999999999996</v>
      </c>
      <c r="R51" s="97">
        <f ca="1">IF(('1. Bottom Up Revenue Model'!$B$18)&gt;R$79,'1. Bottom Up Revenue Model'!R51,(OFFSET(R37,0,-'1. Bottom Up Revenue Model'!$B$18)*'2. Top Down Revenue Model'!$F51))</f>
        <v>11.899999999999999</v>
      </c>
      <c r="S51" s="21">
        <f ca="1">ROUND(OFFSET(S37,0,-'1. Bottom Up Revenue Model'!$B$18)*'2. Top Down Revenue Model'!$F51,0)</f>
        <v>4</v>
      </c>
      <c r="T51" s="21">
        <f ca="1">ROUND(OFFSET(T37,0,-'1. Bottom Up Revenue Model'!$B$18)*'2. Top Down Revenue Model'!$F51,0)</f>
        <v>4</v>
      </c>
      <c r="U51" s="21">
        <f ca="1">ROUND(OFFSET(U37,0,-'1. Bottom Up Revenue Model'!$B$18)*'2. Top Down Revenue Model'!$F51,0)</f>
        <v>7</v>
      </c>
      <c r="V51" s="21">
        <f ca="1">ROUND(OFFSET(V37,0,-'1. Bottom Up Revenue Model'!$B$18)*'2. Top Down Revenue Model'!$F51,0)</f>
        <v>7</v>
      </c>
      <c r="W51" s="21">
        <f ca="1">ROUND(OFFSET(W37,0,-'1. Bottom Up Revenue Model'!$B$18)*'2. Top Down Revenue Model'!$F51,0)</f>
        <v>9</v>
      </c>
      <c r="X51" s="21">
        <f ca="1">ROUND(OFFSET(X37,0,-'1. Bottom Up Revenue Model'!$B$18)*'2. Top Down Revenue Model'!$F51,0)</f>
        <v>8</v>
      </c>
      <c r="Y51" s="21">
        <f ca="1">ROUND(OFFSET(Y37,0,-'1. Bottom Up Revenue Model'!$B$18)*'2. Top Down Revenue Model'!$F51,0)</f>
        <v>4</v>
      </c>
      <c r="Z51" s="21">
        <f ca="1">ROUND(OFFSET(Z37,0,-'1. Bottom Up Revenue Model'!$B$18)*'2. Top Down Revenue Model'!$F51,0)</f>
        <v>3</v>
      </c>
      <c r="AA51" s="21">
        <f ca="1">ROUND(OFFSET(AA37,0,-'1. Bottom Up Revenue Model'!$B$18)*'2. Top Down Revenue Model'!$F51,0)</f>
        <v>6</v>
      </c>
      <c r="AB51" s="21">
        <f ca="1">ROUND(OFFSET(AB37,0,-'1. Bottom Up Revenue Model'!$B$18)*'2. Top Down Revenue Model'!$F51,0)</f>
        <v>10</v>
      </c>
      <c r="AC51" s="21">
        <f ca="1">ROUND(OFFSET(AC37,0,-'1. Bottom Up Revenue Model'!$B$18)*'2. Top Down Revenue Model'!$F51,0)</f>
        <v>8</v>
      </c>
      <c r="AD51" s="21">
        <f ca="1">ROUND(OFFSET(AD37,0,-'1. Bottom Up Revenue Model'!$B$18)*'2. Top Down Revenue Model'!$F51,0)</f>
        <v>22</v>
      </c>
    </row>
    <row r="52" spans="1:30">
      <c r="D52" s="24"/>
      <c r="E52" s="29"/>
      <c r="F52" s="29"/>
      <c r="G52" s="29"/>
      <c r="H52" s="29"/>
      <c r="I52" s="29"/>
      <c r="J52" s="29"/>
      <c r="K52" s="29"/>
      <c r="L52" s="29"/>
      <c r="M52" s="29"/>
      <c r="N52" s="29"/>
      <c r="O52" s="29"/>
      <c r="P52" s="29"/>
      <c r="Q52" s="29"/>
      <c r="R52" s="29"/>
      <c r="S52" s="84"/>
      <c r="T52" s="84"/>
      <c r="U52" s="84"/>
      <c r="V52" s="84"/>
      <c r="W52" s="84"/>
      <c r="X52" s="84"/>
      <c r="Y52" s="84"/>
      <c r="Z52" s="84"/>
      <c r="AA52" s="84"/>
      <c r="AB52" s="84"/>
      <c r="AC52" s="84"/>
      <c r="AD52" s="84"/>
    </row>
    <row r="53" spans="1:30">
      <c r="D53" s="24"/>
      <c r="E53" s="11" t="s">
        <v>11</v>
      </c>
      <c r="F53" s="14"/>
      <c r="G53" s="13">
        <f ca="1">SUM(G54:G58)</f>
        <v>200000</v>
      </c>
      <c r="H53" s="13">
        <f t="shared" ref="H53:AD53" ca="1" si="23">SUM(H54:H58)</f>
        <v>224000</v>
      </c>
      <c r="I53" s="13">
        <f t="shared" ca="1" si="23"/>
        <v>371000</v>
      </c>
      <c r="J53" s="13">
        <f t="shared" ca="1" si="23"/>
        <v>392000</v>
      </c>
      <c r="K53" s="13">
        <f t="shared" ca="1" si="23"/>
        <v>476000</v>
      </c>
      <c r="L53" s="13">
        <f t="shared" ca="1" si="23"/>
        <v>392000</v>
      </c>
      <c r="M53" s="13">
        <f t="shared" ca="1" si="23"/>
        <v>210000</v>
      </c>
      <c r="N53" s="13">
        <f t="shared" ca="1" si="23"/>
        <v>189000</v>
      </c>
      <c r="O53" s="13">
        <f t="shared" ca="1" si="23"/>
        <v>329000</v>
      </c>
      <c r="P53" s="13">
        <f t="shared" ca="1" si="23"/>
        <v>581000</v>
      </c>
      <c r="Q53" s="13">
        <f t="shared" ca="1" si="23"/>
        <v>392000</v>
      </c>
      <c r="R53" s="13">
        <f t="shared" ca="1" si="23"/>
        <v>1211000</v>
      </c>
      <c r="S53" s="23">
        <f t="shared" ca="1" si="23"/>
        <v>400000</v>
      </c>
      <c r="T53" s="23">
        <f t="shared" ca="1" si="23"/>
        <v>400000</v>
      </c>
      <c r="U53" s="23">
        <f t="shared" ca="1" si="23"/>
        <v>680000</v>
      </c>
      <c r="V53" s="23">
        <f t="shared" ca="1" si="23"/>
        <v>680000</v>
      </c>
      <c r="W53" s="23">
        <f t="shared" ca="1" si="23"/>
        <v>900000</v>
      </c>
      <c r="X53" s="23">
        <f t="shared" ca="1" si="23"/>
        <v>780000</v>
      </c>
      <c r="Y53" s="23">
        <f t="shared" ca="1" si="23"/>
        <v>380000</v>
      </c>
      <c r="Z53" s="23">
        <f t="shared" ca="1" si="23"/>
        <v>280000</v>
      </c>
      <c r="AA53" s="23">
        <f t="shared" ca="1" si="23"/>
        <v>600000</v>
      </c>
      <c r="AB53" s="23">
        <f t="shared" ca="1" si="23"/>
        <v>1000000</v>
      </c>
      <c r="AC53" s="23">
        <f t="shared" ca="1" si="23"/>
        <v>780000</v>
      </c>
      <c r="AD53" s="23">
        <f t="shared" ca="1" si="23"/>
        <v>2220000</v>
      </c>
    </row>
    <row r="54" spans="1:30">
      <c r="D54" s="24"/>
      <c r="E54" s="17" t="s">
        <v>1</v>
      </c>
      <c r="F54" s="30"/>
      <c r="G54" s="10">
        <f ca="1">ROUND(G47*'1. Bottom Up Revenue Model'!$B$17,'1. Bottom Up Revenue Model'!$A$86)</f>
        <v>40000</v>
      </c>
      <c r="H54" s="10">
        <f ca="1">ROUND(H47*'1. Bottom Up Revenue Model'!$B$17,'1. Bottom Up Revenue Model'!$A$86)</f>
        <v>42000</v>
      </c>
      <c r="I54" s="10">
        <f ca="1">ROUND(I47*'1. Bottom Up Revenue Model'!$B$17,'1. Bottom Up Revenue Model'!$A$86)</f>
        <v>77000</v>
      </c>
      <c r="J54" s="10">
        <f ca="1">ROUND(J47*'1. Bottom Up Revenue Model'!$B$17,'1. Bottom Up Revenue Model'!$A$86)</f>
        <v>77000</v>
      </c>
      <c r="K54" s="10">
        <f ca="1">ROUND(K47*'1. Bottom Up Revenue Model'!$B$17,'1. Bottom Up Revenue Model'!$A$86)</f>
        <v>98000</v>
      </c>
      <c r="L54" s="10">
        <f ca="1">ROUND(L47*'1. Bottom Up Revenue Model'!$B$17,'1. Bottom Up Revenue Model'!$A$86)</f>
        <v>77000</v>
      </c>
      <c r="M54" s="10">
        <f ca="1">ROUND(M47*'1. Bottom Up Revenue Model'!$B$17,'1. Bottom Up Revenue Model'!$A$86)</f>
        <v>42000</v>
      </c>
      <c r="N54" s="10">
        <f ca="1">ROUND(N47*'1. Bottom Up Revenue Model'!$B$17,'1. Bottom Up Revenue Model'!$A$86)</f>
        <v>42000</v>
      </c>
      <c r="O54" s="10">
        <f ca="1">ROUND(O47*'1. Bottom Up Revenue Model'!$B$17,'1. Bottom Up Revenue Model'!$A$86)</f>
        <v>63000</v>
      </c>
      <c r="P54" s="10">
        <f ca="1">ROUND(P47*'1. Bottom Up Revenue Model'!$B$17,'1. Bottom Up Revenue Model'!$A$86)</f>
        <v>119000</v>
      </c>
      <c r="Q54" s="10">
        <f ca="1">ROUND(Q47*'1. Bottom Up Revenue Model'!$B$17,'1. Bottom Up Revenue Model'!$A$86)</f>
        <v>77000</v>
      </c>
      <c r="R54" s="10">
        <f ca="1">ROUND(R47*'1. Bottom Up Revenue Model'!$B$17,'1. Bottom Up Revenue Model'!$A$86)</f>
        <v>238000</v>
      </c>
      <c r="S54" s="22">
        <f ca="1">ROUND(S47*'1. Bottom Up Revenue Model'!$B$17,'1. Bottom Up Revenue Model'!$A$86)</f>
        <v>80000</v>
      </c>
      <c r="T54" s="22">
        <f ca="1">ROUND(T47*'1. Bottom Up Revenue Model'!$B$17,'1. Bottom Up Revenue Model'!$A$86)</f>
        <v>80000</v>
      </c>
      <c r="U54" s="22">
        <f ca="1">ROUND(U47*'1. Bottom Up Revenue Model'!$B$17,'1. Bottom Up Revenue Model'!$A$86)</f>
        <v>140000</v>
      </c>
      <c r="V54" s="22">
        <f ca="1">ROUND(V47*'1. Bottom Up Revenue Model'!$B$17,'1. Bottom Up Revenue Model'!$A$86)</f>
        <v>140000</v>
      </c>
      <c r="W54" s="22">
        <f ca="1">ROUND(W47*'1. Bottom Up Revenue Model'!$B$17,'1. Bottom Up Revenue Model'!$A$86)</f>
        <v>180000</v>
      </c>
      <c r="X54" s="22">
        <f ca="1">ROUND(X47*'1. Bottom Up Revenue Model'!$B$17,'1. Bottom Up Revenue Model'!$A$86)</f>
        <v>160000</v>
      </c>
      <c r="Y54" s="22">
        <f ca="1">ROUND(Y47*'1. Bottom Up Revenue Model'!$B$17,'1. Bottom Up Revenue Model'!$A$86)</f>
        <v>80000</v>
      </c>
      <c r="Z54" s="22">
        <f ca="1">ROUND(Z47*'1. Bottom Up Revenue Model'!$B$17,'1. Bottom Up Revenue Model'!$A$86)</f>
        <v>60000</v>
      </c>
      <c r="AA54" s="22">
        <f ca="1">ROUND(AA47*'1. Bottom Up Revenue Model'!$B$17,'1. Bottom Up Revenue Model'!$A$86)</f>
        <v>120000</v>
      </c>
      <c r="AB54" s="22">
        <f ca="1">ROUND(AB47*'1. Bottom Up Revenue Model'!$B$17,'1. Bottom Up Revenue Model'!$A$86)</f>
        <v>200000</v>
      </c>
      <c r="AC54" s="22">
        <f ca="1">ROUND(AC47*'1. Bottom Up Revenue Model'!$B$17,'1. Bottom Up Revenue Model'!$A$86)</f>
        <v>160000</v>
      </c>
      <c r="AD54" s="22">
        <f ca="1">ROUND(AD47*'1. Bottom Up Revenue Model'!$B$17,'1. Bottom Up Revenue Model'!$A$86)</f>
        <v>440000</v>
      </c>
    </row>
    <row r="55" spans="1:30">
      <c r="D55" s="24"/>
      <c r="E55" s="17" t="s">
        <v>2</v>
      </c>
      <c r="F55" s="30"/>
      <c r="G55" s="10">
        <f ca="1">ROUND(G48*'1. Bottom Up Revenue Model'!$B$17,'1. Bottom Up Revenue Model'!$A$86)</f>
        <v>60000</v>
      </c>
      <c r="H55" s="10">
        <f ca="1">ROUND(H48*'1. Bottom Up Revenue Model'!$B$17,'1. Bottom Up Revenue Model'!$A$86)</f>
        <v>77000</v>
      </c>
      <c r="I55" s="10">
        <f ca="1">ROUND(I48*'1. Bottom Up Revenue Model'!$B$17,'1. Bottom Up Revenue Model'!$A$86)</f>
        <v>98000</v>
      </c>
      <c r="J55" s="10">
        <f ca="1">ROUND(J48*'1. Bottom Up Revenue Model'!$B$17,'1. Bottom Up Revenue Model'!$A$86)</f>
        <v>119000</v>
      </c>
      <c r="K55" s="10">
        <f ca="1">ROUND(K48*'1. Bottom Up Revenue Model'!$B$17,'1. Bottom Up Revenue Model'!$A$86)</f>
        <v>140000</v>
      </c>
      <c r="L55" s="10">
        <f ca="1">ROUND(L48*'1. Bottom Up Revenue Model'!$B$17,'1. Bottom Up Revenue Model'!$A$86)</f>
        <v>119000</v>
      </c>
      <c r="M55" s="10">
        <f ca="1">ROUND(M48*'1. Bottom Up Revenue Model'!$B$17,'1. Bottom Up Revenue Model'!$A$86)</f>
        <v>63000</v>
      </c>
      <c r="N55" s="10">
        <f ca="1">ROUND(N48*'1. Bottom Up Revenue Model'!$B$17,'1. Bottom Up Revenue Model'!$A$86)</f>
        <v>42000</v>
      </c>
      <c r="O55" s="10">
        <f ca="1">ROUND(O48*'1. Bottom Up Revenue Model'!$B$17,'1. Bottom Up Revenue Model'!$A$86)</f>
        <v>98000</v>
      </c>
      <c r="P55" s="10">
        <f ca="1">ROUND(P48*'1. Bottom Up Revenue Model'!$B$17,'1. Bottom Up Revenue Model'!$A$86)</f>
        <v>161000</v>
      </c>
      <c r="Q55" s="10">
        <f ca="1">ROUND(Q48*'1. Bottom Up Revenue Model'!$B$17,'1. Bottom Up Revenue Model'!$A$86)</f>
        <v>119000</v>
      </c>
      <c r="R55" s="10">
        <f ca="1">ROUND(R48*'1. Bottom Up Revenue Model'!$B$17,'1. Bottom Up Revenue Model'!$A$86)</f>
        <v>378000</v>
      </c>
      <c r="S55" s="22">
        <f ca="1">ROUND(S48*'1. Bottom Up Revenue Model'!$B$17,'1. Bottom Up Revenue Model'!$A$86)</f>
        <v>120000</v>
      </c>
      <c r="T55" s="22">
        <f ca="1">ROUND(T48*'1. Bottom Up Revenue Model'!$B$17,'1. Bottom Up Revenue Model'!$A$86)</f>
        <v>120000</v>
      </c>
      <c r="U55" s="22">
        <f ca="1">ROUND(U48*'1. Bottom Up Revenue Model'!$B$17,'1. Bottom Up Revenue Model'!$A$86)</f>
        <v>200000</v>
      </c>
      <c r="V55" s="22">
        <f ca="1">ROUND(V48*'1. Bottom Up Revenue Model'!$B$17,'1. Bottom Up Revenue Model'!$A$86)</f>
        <v>200000</v>
      </c>
      <c r="W55" s="22">
        <f ca="1">ROUND(W48*'1. Bottom Up Revenue Model'!$B$17,'1. Bottom Up Revenue Model'!$A$86)</f>
        <v>260000</v>
      </c>
      <c r="X55" s="22">
        <f ca="1">ROUND(X48*'1. Bottom Up Revenue Model'!$B$17,'1. Bottom Up Revenue Model'!$A$86)</f>
        <v>220000</v>
      </c>
      <c r="Y55" s="22">
        <f ca="1">ROUND(Y48*'1. Bottom Up Revenue Model'!$B$17,'1. Bottom Up Revenue Model'!$A$86)</f>
        <v>100000</v>
      </c>
      <c r="Z55" s="22">
        <f ca="1">ROUND(Z48*'1. Bottom Up Revenue Model'!$B$17,'1. Bottom Up Revenue Model'!$A$86)</f>
        <v>80000</v>
      </c>
      <c r="AA55" s="22">
        <f ca="1">ROUND(AA48*'1. Bottom Up Revenue Model'!$B$17,'1. Bottom Up Revenue Model'!$A$86)</f>
        <v>180000</v>
      </c>
      <c r="AB55" s="22">
        <f ca="1">ROUND(AB48*'1. Bottom Up Revenue Model'!$B$17,'1. Bottom Up Revenue Model'!$A$86)</f>
        <v>300000</v>
      </c>
      <c r="AC55" s="22">
        <f ca="1">ROUND(AC48*'1. Bottom Up Revenue Model'!$B$17,'1. Bottom Up Revenue Model'!$A$86)</f>
        <v>220000</v>
      </c>
      <c r="AD55" s="22">
        <f ca="1">ROUND(AD48*'1. Bottom Up Revenue Model'!$B$17,'1. Bottom Up Revenue Model'!$A$86)</f>
        <v>680000</v>
      </c>
    </row>
    <row r="56" spans="1:30">
      <c r="D56" s="24"/>
      <c r="E56" s="17" t="s">
        <v>3</v>
      </c>
      <c r="F56" s="30"/>
      <c r="G56" s="10">
        <f ca="1">ROUND(G49*'1. Bottom Up Revenue Model'!$B$17,'1. Bottom Up Revenue Model'!$A$86)</f>
        <v>40000</v>
      </c>
      <c r="H56" s="10">
        <f ca="1">ROUND(H49*'1. Bottom Up Revenue Model'!$B$17,'1. Bottom Up Revenue Model'!$A$86)</f>
        <v>42000</v>
      </c>
      <c r="I56" s="10">
        <f ca="1">ROUND(I49*'1. Bottom Up Revenue Model'!$B$17,'1. Bottom Up Revenue Model'!$A$86)</f>
        <v>77000</v>
      </c>
      <c r="J56" s="10">
        <f ca="1">ROUND(J49*'1. Bottom Up Revenue Model'!$B$17,'1. Bottom Up Revenue Model'!$A$86)</f>
        <v>77000</v>
      </c>
      <c r="K56" s="10">
        <f ca="1">ROUND(K49*'1. Bottom Up Revenue Model'!$B$17,'1. Bottom Up Revenue Model'!$A$86)</f>
        <v>98000</v>
      </c>
      <c r="L56" s="10">
        <f ca="1">ROUND(L49*'1. Bottom Up Revenue Model'!$B$17,'1. Bottom Up Revenue Model'!$A$86)</f>
        <v>77000</v>
      </c>
      <c r="M56" s="10">
        <f ca="1">ROUND(M49*'1. Bottom Up Revenue Model'!$B$17,'1. Bottom Up Revenue Model'!$A$86)</f>
        <v>42000</v>
      </c>
      <c r="N56" s="10">
        <f ca="1">ROUND(N49*'1. Bottom Up Revenue Model'!$B$17,'1. Bottom Up Revenue Model'!$A$86)</f>
        <v>42000</v>
      </c>
      <c r="O56" s="10">
        <f ca="1">ROUND(O49*'1. Bottom Up Revenue Model'!$B$17,'1. Bottom Up Revenue Model'!$A$86)</f>
        <v>63000</v>
      </c>
      <c r="P56" s="10">
        <f ca="1">ROUND(P49*'1. Bottom Up Revenue Model'!$B$17,'1. Bottom Up Revenue Model'!$A$86)</f>
        <v>119000</v>
      </c>
      <c r="Q56" s="10">
        <f ca="1">ROUND(Q49*'1. Bottom Up Revenue Model'!$B$17,'1. Bottom Up Revenue Model'!$A$86)</f>
        <v>77000</v>
      </c>
      <c r="R56" s="10">
        <f ca="1">ROUND(R49*'1. Bottom Up Revenue Model'!$B$17,'1. Bottom Up Revenue Model'!$A$86)</f>
        <v>238000</v>
      </c>
      <c r="S56" s="22">
        <f ca="1">ROUND(S49*'1. Bottom Up Revenue Model'!$B$17,'1. Bottom Up Revenue Model'!$A$86)</f>
        <v>80000</v>
      </c>
      <c r="T56" s="22">
        <f ca="1">ROUND(T49*'1. Bottom Up Revenue Model'!$B$17,'1. Bottom Up Revenue Model'!$A$86)</f>
        <v>80000</v>
      </c>
      <c r="U56" s="22">
        <f ca="1">ROUND(U49*'1. Bottom Up Revenue Model'!$B$17,'1. Bottom Up Revenue Model'!$A$86)</f>
        <v>140000</v>
      </c>
      <c r="V56" s="22">
        <f ca="1">ROUND(V49*'1. Bottom Up Revenue Model'!$B$17,'1. Bottom Up Revenue Model'!$A$86)</f>
        <v>140000</v>
      </c>
      <c r="W56" s="22">
        <f ca="1">ROUND(W49*'1. Bottom Up Revenue Model'!$B$17,'1. Bottom Up Revenue Model'!$A$86)</f>
        <v>180000</v>
      </c>
      <c r="X56" s="22">
        <f ca="1">ROUND(X49*'1. Bottom Up Revenue Model'!$B$17,'1. Bottom Up Revenue Model'!$A$86)</f>
        <v>160000</v>
      </c>
      <c r="Y56" s="22">
        <f ca="1">ROUND(Y49*'1. Bottom Up Revenue Model'!$B$17,'1. Bottom Up Revenue Model'!$A$86)</f>
        <v>80000</v>
      </c>
      <c r="Z56" s="22">
        <f ca="1">ROUND(Z49*'1. Bottom Up Revenue Model'!$B$17,'1. Bottom Up Revenue Model'!$A$86)</f>
        <v>60000</v>
      </c>
      <c r="AA56" s="22">
        <f ca="1">ROUND(AA49*'1. Bottom Up Revenue Model'!$B$17,'1. Bottom Up Revenue Model'!$A$86)</f>
        <v>120000</v>
      </c>
      <c r="AB56" s="22">
        <f ca="1">ROUND(AB49*'1. Bottom Up Revenue Model'!$B$17,'1. Bottom Up Revenue Model'!$A$86)</f>
        <v>200000</v>
      </c>
      <c r="AC56" s="22">
        <f ca="1">ROUND(AC49*'1. Bottom Up Revenue Model'!$B$17,'1. Bottom Up Revenue Model'!$A$86)</f>
        <v>160000</v>
      </c>
      <c r="AD56" s="22">
        <f ca="1">ROUND(AD49*'1. Bottom Up Revenue Model'!$B$17,'1. Bottom Up Revenue Model'!$A$86)</f>
        <v>440000</v>
      </c>
    </row>
    <row r="57" spans="1:30">
      <c r="D57" s="24"/>
      <c r="E57" s="17" t="s">
        <v>4</v>
      </c>
      <c r="F57" s="30"/>
      <c r="G57" s="10">
        <f ca="1">ROUND(G50*'1. Bottom Up Revenue Model'!$B$17,'1. Bottom Up Revenue Model'!$A$86)</f>
        <v>20000</v>
      </c>
      <c r="H57" s="10">
        <f ca="1">ROUND(H50*'1. Bottom Up Revenue Model'!$B$17,'1. Bottom Up Revenue Model'!$A$86)</f>
        <v>21000</v>
      </c>
      <c r="I57" s="10">
        <f ca="1">ROUND(I50*'1. Bottom Up Revenue Model'!$B$17,'1. Bottom Up Revenue Model'!$A$86)</f>
        <v>42000</v>
      </c>
      <c r="J57" s="10">
        <f ca="1">ROUND(J50*'1. Bottom Up Revenue Model'!$B$17,'1. Bottom Up Revenue Model'!$A$86)</f>
        <v>42000</v>
      </c>
      <c r="K57" s="10">
        <f ca="1">ROUND(K50*'1. Bottom Up Revenue Model'!$B$17,'1. Bottom Up Revenue Model'!$A$86)</f>
        <v>42000</v>
      </c>
      <c r="L57" s="10">
        <f ca="1">ROUND(L50*'1. Bottom Up Revenue Model'!$B$17,'1. Bottom Up Revenue Model'!$A$86)</f>
        <v>42000</v>
      </c>
      <c r="M57" s="10">
        <f ca="1">ROUND(M50*'1. Bottom Up Revenue Model'!$B$17,'1. Bottom Up Revenue Model'!$A$86)</f>
        <v>21000</v>
      </c>
      <c r="N57" s="10">
        <f ca="1">ROUND(N50*'1. Bottom Up Revenue Model'!$B$17,'1. Bottom Up Revenue Model'!$A$86)</f>
        <v>21000</v>
      </c>
      <c r="O57" s="10">
        <f ca="1">ROUND(O50*'1. Bottom Up Revenue Model'!$B$17,'1. Bottom Up Revenue Model'!$A$86)</f>
        <v>42000</v>
      </c>
      <c r="P57" s="10">
        <f ca="1">ROUND(P50*'1. Bottom Up Revenue Model'!$B$17,'1. Bottom Up Revenue Model'!$A$86)</f>
        <v>63000</v>
      </c>
      <c r="Q57" s="10">
        <f ca="1">ROUND(Q50*'1. Bottom Up Revenue Model'!$B$17,'1. Bottom Up Revenue Model'!$A$86)</f>
        <v>42000</v>
      </c>
      <c r="R57" s="10">
        <f ca="1">ROUND(R50*'1. Bottom Up Revenue Model'!$B$17,'1. Bottom Up Revenue Model'!$A$86)</f>
        <v>119000</v>
      </c>
      <c r="S57" s="22">
        <f ca="1">ROUND(S50*'1. Bottom Up Revenue Model'!$B$17,'1. Bottom Up Revenue Model'!$A$86)</f>
        <v>40000</v>
      </c>
      <c r="T57" s="22">
        <f ca="1">ROUND(T50*'1. Bottom Up Revenue Model'!$B$17,'1. Bottom Up Revenue Model'!$A$86)</f>
        <v>40000</v>
      </c>
      <c r="U57" s="22">
        <f ca="1">ROUND(U50*'1. Bottom Up Revenue Model'!$B$17,'1. Bottom Up Revenue Model'!$A$86)</f>
        <v>60000</v>
      </c>
      <c r="V57" s="22">
        <f ca="1">ROUND(V50*'1. Bottom Up Revenue Model'!$B$17,'1. Bottom Up Revenue Model'!$A$86)</f>
        <v>60000</v>
      </c>
      <c r="W57" s="22">
        <f ca="1">ROUND(W50*'1. Bottom Up Revenue Model'!$B$17,'1. Bottom Up Revenue Model'!$A$86)</f>
        <v>100000</v>
      </c>
      <c r="X57" s="22">
        <f ca="1">ROUND(X50*'1. Bottom Up Revenue Model'!$B$17,'1. Bottom Up Revenue Model'!$A$86)</f>
        <v>80000</v>
      </c>
      <c r="Y57" s="22">
        <f ca="1">ROUND(Y50*'1. Bottom Up Revenue Model'!$B$17,'1. Bottom Up Revenue Model'!$A$86)</f>
        <v>40000</v>
      </c>
      <c r="Z57" s="22">
        <f ca="1">ROUND(Z50*'1. Bottom Up Revenue Model'!$B$17,'1. Bottom Up Revenue Model'!$A$86)</f>
        <v>20000</v>
      </c>
      <c r="AA57" s="22">
        <f ca="1">ROUND(AA50*'1. Bottom Up Revenue Model'!$B$17,'1. Bottom Up Revenue Model'!$A$86)</f>
        <v>60000</v>
      </c>
      <c r="AB57" s="22">
        <f ca="1">ROUND(AB50*'1. Bottom Up Revenue Model'!$B$17,'1. Bottom Up Revenue Model'!$A$86)</f>
        <v>100000</v>
      </c>
      <c r="AC57" s="22">
        <f ca="1">ROUND(AC50*'1. Bottom Up Revenue Model'!$B$17,'1. Bottom Up Revenue Model'!$A$86)</f>
        <v>80000</v>
      </c>
      <c r="AD57" s="22">
        <f ca="1">ROUND(AD50*'1. Bottom Up Revenue Model'!$B$17,'1. Bottom Up Revenue Model'!$A$86)</f>
        <v>220000</v>
      </c>
    </row>
    <row r="58" spans="1:30">
      <c r="D58" s="24"/>
      <c r="E58" s="17" t="s">
        <v>5</v>
      </c>
      <c r="F58" s="30"/>
      <c r="G58" s="10">
        <f ca="1">ROUND(G51*'1. Bottom Up Revenue Model'!$B$17,'1. Bottom Up Revenue Model'!$A$86)</f>
        <v>40000</v>
      </c>
      <c r="H58" s="10">
        <f ca="1">ROUND(H51*'1. Bottom Up Revenue Model'!$B$17,'1. Bottom Up Revenue Model'!$A$86)</f>
        <v>42000</v>
      </c>
      <c r="I58" s="10">
        <f ca="1">ROUND(I51*'1. Bottom Up Revenue Model'!$B$17,'1. Bottom Up Revenue Model'!$A$86)</f>
        <v>77000</v>
      </c>
      <c r="J58" s="10">
        <f ca="1">ROUND(J51*'1. Bottom Up Revenue Model'!$B$17,'1. Bottom Up Revenue Model'!$A$86)</f>
        <v>77000</v>
      </c>
      <c r="K58" s="10">
        <f ca="1">ROUND(K51*'1. Bottom Up Revenue Model'!$B$17,'1. Bottom Up Revenue Model'!$A$86)</f>
        <v>98000</v>
      </c>
      <c r="L58" s="10">
        <f ca="1">ROUND(L51*'1. Bottom Up Revenue Model'!$B$17,'1. Bottom Up Revenue Model'!$A$86)</f>
        <v>77000</v>
      </c>
      <c r="M58" s="10">
        <f ca="1">ROUND(M51*'1. Bottom Up Revenue Model'!$B$17,'1. Bottom Up Revenue Model'!$A$86)</f>
        <v>42000</v>
      </c>
      <c r="N58" s="10">
        <f ca="1">ROUND(N51*'1. Bottom Up Revenue Model'!$B$17,'1. Bottom Up Revenue Model'!$A$86)</f>
        <v>42000</v>
      </c>
      <c r="O58" s="10">
        <f ca="1">ROUND(O51*'1. Bottom Up Revenue Model'!$B$17,'1. Bottom Up Revenue Model'!$A$86)</f>
        <v>63000</v>
      </c>
      <c r="P58" s="10">
        <f ca="1">ROUND(P51*'1. Bottom Up Revenue Model'!$B$17,'1. Bottom Up Revenue Model'!$A$86)</f>
        <v>119000</v>
      </c>
      <c r="Q58" s="10">
        <f ca="1">ROUND(Q51*'1. Bottom Up Revenue Model'!$B$17,'1. Bottom Up Revenue Model'!$A$86)</f>
        <v>77000</v>
      </c>
      <c r="R58" s="10">
        <f ca="1">ROUND(R51*'1. Bottom Up Revenue Model'!$B$17,'1. Bottom Up Revenue Model'!$A$86)</f>
        <v>238000</v>
      </c>
      <c r="S58" s="22">
        <f ca="1">ROUND(S51*'1. Bottom Up Revenue Model'!$B$17,'1. Bottom Up Revenue Model'!$A$86)</f>
        <v>80000</v>
      </c>
      <c r="T58" s="22">
        <f ca="1">ROUND(T51*'1. Bottom Up Revenue Model'!$B$17,'1. Bottom Up Revenue Model'!$A$86)</f>
        <v>80000</v>
      </c>
      <c r="U58" s="22">
        <f ca="1">ROUND(U51*'1. Bottom Up Revenue Model'!$B$17,'1. Bottom Up Revenue Model'!$A$86)</f>
        <v>140000</v>
      </c>
      <c r="V58" s="22">
        <f ca="1">ROUND(V51*'1. Bottom Up Revenue Model'!$B$17,'1. Bottom Up Revenue Model'!$A$86)</f>
        <v>140000</v>
      </c>
      <c r="W58" s="22">
        <f ca="1">ROUND(W51*'1. Bottom Up Revenue Model'!$B$17,'1. Bottom Up Revenue Model'!$A$86)</f>
        <v>180000</v>
      </c>
      <c r="X58" s="22">
        <f ca="1">ROUND(X51*'1. Bottom Up Revenue Model'!$B$17,'1. Bottom Up Revenue Model'!$A$86)</f>
        <v>160000</v>
      </c>
      <c r="Y58" s="22">
        <f ca="1">ROUND(Y51*'1. Bottom Up Revenue Model'!$B$17,'1. Bottom Up Revenue Model'!$A$86)</f>
        <v>80000</v>
      </c>
      <c r="Z58" s="22">
        <f ca="1">ROUND(Z51*'1. Bottom Up Revenue Model'!$B$17,'1. Bottom Up Revenue Model'!$A$86)</f>
        <v>60000</v>
      </c>
      <c r="AA58" s="22">
        <f ca="1">ROUND(AA51*'1. Bottom Up Revenue Model'!$B$17,'1. Bottom Up Revenue Model'!$A$86)</f>
        <v>120000</v>
      </c>
      <c r="AB58" s="22">
        <f ca="1">ROUND(AB51*'1. Bottom Up Revenue Model'!$B$17,'1. Bottom Up Revenue Model'!$A$86)</f>
        <v>200000</v>
      </c>
      <c r="AC58" s="22">
        <f ca="1">ROUND(AC51*'1. Bottom Up Revenue Model'!$B$17,'1. Bottom Up Revenue Model'!$A$86)</f>
        <v>160000</v>
      </c>
      <c r="AD58" s="22">
        <f ca="1">ROUND(AD51*'1. Bottom Up Revenue Model'!$B$17,'1. Bottom Up Revenue Model'!$A$86)</f>
        <v>440000</v>
      </c>
    </row>
    <row r="59" spans="1:30">
      <c r="D59" s="27"/>
      <c r="E59" s="28"/>
      <c r="F59" s="28"/>
      <c r="G59" s="28"/>
      <c r="H59" s="28"/>
      <c r="I59" s="28"/>
      <c r="J59" s="28"/>
      <c r="K59" s="28"/>
      <c r="L59" s="28"/>
      <c r="M59" s="28"/>
      <c r="N59" s="28"/>
      <c r="O59" s="28"/>
      <c r="P59" s="28"/>
      <c r="Q59" s="28"/>
      <c r="R59" s="45"/>
      <c r="S59" s="20"/>
      <c r="T59" s="20"/>
      <c r="U59" s="20"/>
      <c r="V59" s="20"/>
      <c r="W59" s="20"/>
      <c r="X59" s="20"/>
      <c r="Y59" s="20"/>
      <c r="Z59" s="20"/>
      <c r="AA59" s="20"/>
      <c r="AB59" s="20"/>
      <c r="AC59" s="20"/>
      <c r="AD59" s="20"/>
    </row>
    <row r="60" spans="1:30">
      <c r="D60"/>
    </row>
    <row r="63" spans="1:30">
      <c r="A63" s="83" t="s">
        <v>56</v>
      </c>
    </row>
    <row r="64" spans="1:30">
      <c r="A64" s="3">
        <v>1</v>
      </c>
      <c r="E64" t="str">
        <f>'1. Bottom Up Revenue Model'!E68</f>
        <v>IGNORE - Formatting Waterfall</v>
      </c>
    </row>
    <row r="65" spans="1:18">
      <c r="A65" s="3">
        <v>2</v>
      </c>
      <c r="E65" t="str">
        <f>'1. Bottom Up Revenue Model'!E69</f>
        <v>SALs (Opp #)</v>
      </c>
    </row>
    <row r="66" spans="1:18">
      <c r="A66" s="3">
        <v>3</v>
      </c>
      <c r="E66" t="str">
        <f>'1. Bottom Up Revenue Model'!E70</f>
        <v>Inbound - Organic</v>
      </c>
      <c r="G66">
        <f>'1. Bottom Up Revenue Model'!G70</f>
        <v>0</v>
      </c>
      <c r="H66">
        <f>'1. Bottom Up Revenue Model'!H70</f>
        <v>0</v>
      </c>
      <c r="I66">
        <f>'1. Bottom Up Revenue Model'!I70</f>
        <v>0</v>
      </c>
      <c r="J66">
        <f>'1. Bottom Up Revenue Model'!J70</f>
        <v>1</v>
      </c>
      <c r="K66">
        <f>'1. Bottom Up Revenue Model'!K70</f>
        <v>0</v>
      </c>
      <c r="L66">
        <f>'1. Bottom Up Revenue Model'!L70</f>
        <v>0</v>
      </c>
      <c r="M66">
        <f>'1. Bottom Up Revenue Model'!M70</f>
        <v>0</v>
      </c>
      <c r="N66">
        <f>'1. Bottom Up Revenue Model'!N70</f>
        <v>0</v>
      </c>
      <c r="O66">
        <f>'1. Bottom Up Revenue Model'!O70</f>
        <v>0</v>
      </c>
      <c r="P66">
        <f>'1. Bottom Up Revenue Model'!P70</f>
        <v>0</v>
      </c>
      <c r="Q66">
        <f>'1. Bottom Up Revenue Model'!Q70</f>
        <v>0</v>
      </c>
      <c r="R66">
        <f>'1. Bottom Up Revenue Model'!R70</f>
        <v>0</v>
      </c>
    </row>
    <row r="67" spans="1:18">
      <c r="A67" s="3">
        <v>4</v>
      </c>
      <c r="E67" t="str">
        <f>'1. Bottom Up Revenue Model'!E71</f>
        <v>Inbound - Paid</v>
      </c>
      <c r="G67">
        <f>'1. Bottom Up Revenue Model'!G71</f>
        <v>0</v>
      </c>
      <c r="H67">
        <f>'1. Bottom Up Revenue Model'!H71</f>
        <v>0</v>
      </c>
      <c r="I67">
        <f>'1. Bottom Up Revenue Model'!I71</f>
        <v>0</v>
      </c>
      <c r="J67">
        <f>'1. Bottom Up Revenue Model'!J71</f>
        <v>1</v>
      </c>
      <c r="K67">
        <f>'1. Bottom Up Revenue Model'!K71</f>
        <v>0</v>
      </c>
      <c r="L67">
        <f>'1. Bottom Up Revenue Model'!L71</f>
        <v>0</v>
      </c>
      <c r="M67">
        <f>'1. Bottom Up Revenue Model'!M71</f>
        <v>0</v>
      </c>
      <c r="N67">
        <f>'1. Bottom Up Revenue Model'!N71</f>
        <v>0</v>
      </c>
      <c r="O67">
        <f>'1. Bottom Up Revenue Model'!O71</f>
        <v>0</v>
      </c>
      <c r="P67">
        <f>'1. Bottom Up Revenue Model'!P71</f>
        <v>0</v>
      </c>
      <c r="Q67">
        <f>'1. Bottom Up Revenue Model'!Q71</f>
        <v>0</v>
      </c>
      <c r="R67">
        <f>'1. Bottom Up Revenue Model'!R71</f>
        <v>0</v>
      </c>
    </row>
    <row r="68" spans="1:18">
      <c r="A68" s="3">
        <v>5</v>
      </c>
      <c r="E68" t="str">
        <f>'1. Bottom Up Revenue Model'!E72</f>
        <v>Marketing Outbound</v>
      </c>
      <c r="G68">
        <f>'1. Bottom Up Revenue Model'!G72</f>
        <v>0</v>
      </c>
      <c r="H68">
        <f>'1. Bottom Up Revenue Model'!H72</f>
        <v>0</v>
      </c>
      <c r="I68">
        <f>'1. Bottom Up Revenue Model'!I72</f>
        <v>0</v>
      </c>
      <c r="J68">
        <f>'1. Bottom Up Revenue Model'!J72</f>
        <v>1</v>
      </c>
      <c r="K68">
        <f>'1. Bottom Up Revenue Model'!K72</f>
        <v>0</v>
      </c>
      <c r="L68">
        <f>'1. Bottom Up Revenue Model'!L72</f>
        <v>0</v>
      </c>
      <c r="M68">
        <f>'1. Bottom Up Revenue Model'!M72</f>
        <v>0</v>
      </c>
      <c r="N68">
        <f>'1. Bottom Up Revenue Model'!N72</f>
        <v>0</v>
      </c>
      <c r="O68">
        <f>'1. Bottom Up Revenue Model'!O72</f>
        <v>0</v>
      </c>
      <c r="P68">
        <f>'1. Bottom Up Revenue Model'!P72</f>
        <v>0</v>
      </c>
      <c r="Q68">
        <f>'1. Bottom Up Revenue Model'!Q72</f>
        <v>0</v>
      </c>
      <c r="R68">
        <f>'1. Bottom Up Revenue Model'!R72</f>
        <v>0</v>
      </c>
    </row>
    <row r="69" spans="1:18">
      <c r="A69" s="3">
        <v>6</v>
      </c>
      <c r="E69" t="str">
        <f>'1. Bottom Up Revenue Model'!E73</f>
        <v>Referrals</v>
      </c>
      <c r="G69">
        <f>'1. Bottom Up Revenue Model'!G73</f>
        <v>0</v>
      </c>
      <c r="H69">
        <f>'1. Bottom Up Revenue Model'!H73</f>
        <v>0</v>
      </c>
      <c r="I69">
        <f>'1. Bottom Up Revenue Model'!I73</f>
        <v>0</v>
      </c>
      <c r="J69">
        <f>'1. Bottom Up Revenue Model'!J73</f>
        <v>1</v>
      </c>
      <c r="K69">
        <f>'1. Bottom Up Revenue Model'!K73</f>
        <v>0</v>
      </c>
      <c r="L69">
        <f>'1. Bottom Up Revenue Model'!L73</f>
        <v>0</v>
      </c>
      <c r="M69">
        <f>'1. Bottom Up Revenue Model'!M73</f>
        <v>0</v>
      </c>
      <c r="N69">
        <f>'1. Bottom Up Revenue Model'!N73</f>
        <v>0</v>
      </c>
      <c r="O69">
        <f>'1. Bottom Up Revenue Model'!O73</f>
        <v>0</v>
      </c>
      <c r="P69">
        <f>'1. Bottom Up Revenue Model'!P73</f>
        <v>0</v>
      </c>
      <c r="Q69">
        <f>'1. Bottom Up Revenue Model'!Q73</f>
        <v>0</v>
      </c>
      <c r="R69">
        <f>'1. Bottom Up Revenue Model'!R73</f>
        <v>0</v>
      </c>
    </row>
    <row r="70" spans="1:18">
      <c r="A70" s="3">
        <v>7</v>
      </c>
      <c r="E70" t="str">
        <f>'1. Bottom Up Revenue Model'!E74</f>
        <v>Sales Outbound</v>
      </c>
      <c r="G70">
        <f>'1. Bottom Up Revenue Model'!G74</f>
        <v>0</v>
      </c>
      <c r="H70">
        <f>'1. Bottom Up Revenue Model'!H74</f>
        <v>0</v>
      </c>
      <c r="I70">
        <f>'1. Bottom Up Revenue Model'!I74</f>
        <v>0</v>
      </c>
      <c r="J70">
        <f>'1. Bottom Up Revenue Model'!J74</f>
        <v>1</v>
      </c>
      <c r="K70">
        <f>'1. Bottom Up Revenue Model'!K74</f>
        <v>0</v>
      </c>
      <c r="L70">
        <f>'1. Bottom Up Revenue Model'!L74</f>
        <v>0</v>
      </c>
      <c r="M70">
        <f>'1. Bottom Up Revenue Model'!M74</f>
        <v>0</v>
      </c>
      <c r="N70">
        <f>'1. Bottom Up Revenue Model'!N74</f>
        <v>0</v>
      </c>
      <c r="O70">
        <f>'1. Bottom Up Revenue Model'!O74</f>
        <v>0</v>
      </c>
      <c r="P70">
        <f>'1. Bottom Up Revenue Model'!P74</f>
        <v>0</v>
      </c>
      <c r="Q70">
        <f>'1. Bottom Up Revenue Model'!Q74</f>
        <v>0</v>
      </c>
      <c r="R70">
        <f>'1. Bottom Up Revenue Model'!R74</f>
        <v>0</v>
      </c>
    </row>
    <row r="71" spans="1:18">
      <c r="A71" s="3">
        <v>8</v>
      </c>
    </row>
    <row r="72" spans="1:18">
      <c r="A72" s="3">
        <v>9</v>
      </c>
    </row>
    <row r="73" spans="1:18">
      <c r="A73" s="4">
        <v>1</v>
      </c>
      <c r="E73" t="str">
        <f>'1. Bottom Up Revenue Model'!E77</f>
        <v>Closed Won - # of Deals</v>
      </c>
    </row>
    <row r="74" spans="1:18">
      <c r="A74" s="4">
        <v>100</v>
      </c>
      <c r="E74" t="str">
        <f>'1. Bottom Up Revenue Model'!E78</f>
        <v>Inbound - Organic</v>
      </c>
      <c r="G74">
        <f>'1. Bottom Up Revenue Model'!G78</f>
        <v>0</v>
      </c>
      <c r="H74">
        <f>'1. Bottom Up Revenue Model'!H78</f>
        <v>0</v>
      </c>
      <c r="I74">
        <f>'1. Bottom Up Revenue Model'!I78</f>
        <v>0</v>
      </c>
      <c r="J74">
        <f>'1. Bottom Up Revenue Model'!J78</f>
        <v>0</v>
      </c>
      <c r="K74">
        <f>'1. Bottom Up Revenue Model'!K78</f>
        <v>1</v>
      </c>
      <c r="L74">
        <f>'1. Bottom Up Revenue Model'!L78</f>
        <v>0</v>
      </c>
      <c r="M74">
        <f>'1. Bottom Up Revenue Model'!M78</f>
        <v>0</v>
      </c>
      <c r="N74">
        <f>'1. Bottom Up Revenue Model'!N78</f>
        <v>0</v>
      </c>
      <c r="O74">
        <f>'1. Bottom Up Revenue Model'!O78</f>
        <v>0</v>
      </c>
      <c r="P74">
        <f>'1. Bottom Up Revenue Model'!P78</f>
        <v>0</v>
      </c>
      <c r="Q74">
        <f>'1. Bottom Up Revenue Model'!Q78</f>
        <v>0</v>
      </c>
      <c r="R74">
        <f>'1. Bottom Up Revenue Model'!R78</f>
        <v>0</v>
      </c>
    </row>
    <row r="75" spans="1:18">
      <c r="A75" s="4">
        <v>1000</v>
      </c>
      <c r="E75" t="str">
        <f>'1. Bottom Up Revenue Model'!E79</f>
        <v>Inbound - Paid</v>
      </c>
      <c r="G75">
        <f>'1. Bottom Up Revenue Model'!G79</f>
        <v>0</v>
      </c>
      <c r="H75">
        <f>'1. Bottom Up Revenue Model'!H79</f>
        <v>0</v>
      </c>
      <c r="I75">
        <f>'1. Bottom Up Revenue Model'!I79</f>
        <v>0</v>
      </c>
      <c r="J75">
        <f>'1. Bottom Up Revenue Model'!J79</f>
        <v>0</v>
      </c>
      <c r="K75">
        <f>'1. Bottom Up Revenue Model'!K79</f>
        <v>1</v>
      </c>
      <c r="L75">
        <f>'1. Bottom Up Revenue Model'!L79</f>
        <v>0</v>
      </c>
      <c r="M75">
        <f>'1. Bottom Up Revenue Model'!M79</f>
        <v>0</v>
      </c>
      <c r="N75">
        <f>'1. Bottom Up Revenue Model'!N79</f>
        <v>0</v>
      </c>
      <c r="O75">
        <f>'1. Bottom Up Revenue Model'!O79</f>
        <v>0</v>
      </c>
      <c r="P75">
        <f>'1. Bottom Up Revenue Model'!P79</f>
        <v>0</v>
      </c>
      <c r="Q75">
        <f>'1. Bottom Up Revenue Model'!Q79</f>
        <v>0</v>
      </c>
      <c r="R75">
        <f>'1. Bottom Up Revenue Model'!R79</f>
        <v>0</v>
      </c>
    </row>
    <row r="76" spans="1:18">
      <c r="A76" s="4">
        <v>10000</v>
      </c>
      <c r="E76" t="str">
        <f>'1. Bottom Up Revenue Model'!E80</f>
        <v>Marketing Outbound</v>
      </c>
      <c r="G76">
        <f>'1. Bottom Up Revenue Model'!G80</f>
        <v>0</v>
      </c>
      <c r="H76">
        <f>'1. Bottom Up Revenue Model'!H80</f>
        <v>0</v>
      </c>
      <c r="I76">
        <f>'1. Bottom Up Revenue Model'!I80</f>
        <v>0</v>
      </c>
      <c r="J76">
        <f>'1. Bottom Up Revenue Model'!J80</f>
        <v>0</v>
      </c>
      <c r="K76">
        <f>'1. Bottom Up Revenue Model'!K80</f>
        <v>1</v>
      </c>
      <c r="L76">
        <f>'1. Bottom Up Revenue Model'!L80</f>
        <v>0</v>
      </c>
      <c r="M76">
        <f>'1. Bottom Up Revenue Model'!M80</f>
        <v>0</v>
      </c>
      <c r="N76">
        <f>'1. Bottom Up Revenue Model'!N80</f>
        <v>0</v>
      </c>
      <c r="O76">
        <f>'1. Bottom Up Revenue Model'!O80</f>
        <v>0</v>
      </c>
      <c r="P76">
        <f>'1. Bottom Up Revenue Model'!P80</f>
        <v>0</v>
      </c>
      <c r="Q76">
        <f>'1. Bottom Up Revenue Model'!Q80</f>
        <v>0</v>
      </c>
      <c r="R76">
        <f>'1. Bottom Up Revenue Model'!R80</f>
        <v>0</v>
      </c>
    </row>
    <row r="77" spans="1:18">
      <c r="A77" s="4">
        <v>100000</v>
      </c>
      <c r="E77" t="str">
        <f>'1. Bottom Up Revenue Model'!E81</f>
        <v>Referrals</v>
      </c>
      <c r="G77">
        <f>'1. Bottom Up Revenue Model'!G81</f>
        <v>0</v>
      </c>
      <c r="H77">
        <f>'1. Bottom Up Revenue Model'!H81</f>
        <v>0</v>
      </c>
      <c r="I77">
        <f>'1. Bottom Up Revenue Model'!I81</f>
        <v>0</v>
      </c>
      <c r="J77">
        <f>'1. Bottom Up Revenue Model'!J81</f>
        <v>0</v>
      </c>
      <c r="K77">
        <f>'1. Bottom Up Revenue Model'!K81</f>
        <v>1</v>
      </c>
      <c r="L77">
        <f>'1. Bottom Up Revenue Model'!L81</f>
        <v>0</v>
      </c>
      <c r="M77">
        <f>'1. Bottom Up Revenue Model'!M81</f>
        <v>0</v>
      </c>
      <c r="N77">
        <f>'1. Bottom Up Revenue Model'!N81</f>
        <v>0</v>
      </c>
      <c r="O77">
        <f>'1. Bottom Up Revenue Model'!O81</f>
        <v>0</v>
      </c>
      <c r="P77">
        <f>'1. Bottom Up Revenue Model'!P81</f>
        <v>0</v>
      </c>
      <c r="Q77">
        <f>'1. Bottom Up Revenue Model'!Q81</f>
        <v>0</v>
      </c>
      <c r="R77">
        <f>'1. Bottom Up Revenue Model'!R81</f>
        <v>0</v>
      </c>
    </row>
    <row r="78" spans="1:18">
      <c r="A78" s="4">
        <v>1000000</v>
      </c>
      <c r="E78" t="str">
        <f>'1. Bottom Up Revenue Model'!E82</f>
        <v>Sales Outbound</v>
      </c>
      <c r="G78">
        <f>'1. Bottom Up Revenue Model'!G82</f>
        <v>0</v>
      </c>
      <c r="H78">
        <f>'1. Bottom Up Revenue Model'!H82</f>
        <v>0</v>
      </c>
      <c r="I78">
        <f>'1. Bottom Up Revenue Model'!I82</f>
        <v>0</v>
      </c>
      <c r="J78">
        <f>'1. Bottom Up Revenue Model'!J82</f>
        <v>0</v>
      </c>
      <c r="K78">
        <f>'1. Bottom Up Revenue Model'!K82</f>
        <v>1</v>
      </c>
      <c r="L78">
        <f>'1. Bottom Up Revenue Model'!L82</f>
        <v>0</v>
      </c>
      <c r="M78">
        <f>'1. Bottom Up Revenue Model'!M82</f>
        <v>0</v>
      </c>
      <c r="N78">
        <f>'1. Bottom Up Revenue Model'!N82</f>
        <v>0</v>
      </c>
      <c r="O78">
        <f>'1. Bottom Up Revenue Model'!O82</f>
        <v>0</v>
      </c>
      <c r="P78">
        <f>'1. Bottom Up Revenue Model'!P82</f>
        <v>0</v>
      </c>
      <c r="Q78">
        <f>'1. Bottom Up Revenue Model'!Q82</f>
        <v>0</v>
      </c>
      <c r="R78">
        <f>'1. Bottom Up Revenue Model'!R82</f>
        <v>0</v>
      </c>
    </row>
    <row r="79" spans="1:18">
      <c r="A79" s="3" t="e">
        <f>IF(#REF!=A73,0,IF(#REF!=A74,-2,IF(#REF!=A75,-3,IF(A76=#REF!,-4,IF(#REF!=A77,-5,IF(#REF!=A78,-6,0))))))</f>
        <v>#REF!</v>
      </c>
      <c r="E79" t="s">
        <v>71</v>
      </c>
      <c r="G79">
        <v>0</v>
      </c>
      <c r="H79">
        <f>G79+1</f>
        <v>1</v>
      </c>
      <c r="I79">
        <f t="shared" ref="I79:R79" si="24">H79+1</f>
        <v>2</v>
      </c>
      <c r="J79">
        <f t="shared" si="24"/>
        <v>3</v>
      </c>
      <c r="K79">
        <f t="shared" si="24"/>
        <v>4</v>
      </c>
      <c r="L79">
        <f t="shared" si="24"/>
        <v>5</v>
      </c>
      <c r="M79">
        <f t="shared" si="24"/>
        <v>6</v>
      </c>
      <c r="N79">
        <f t="shared" si="24"/>
        <v>7</v>
      </c>
      <c r="O79">
        <f t="shared" si="24"/>
        <v>8</v>
      </c>
      <c r="P79">
        <f t="shared" si="24"/>
        <v>9</v>
      </c>
      <c r="Q79">
        <f t="shared" si="24"/>
        <v>10</v>
      </c>
      <c r="R79">
        <f t="shared" si="24"/>
        <v>11</v>
      </c>
    </row>
  </sheetData>
  <mergeCells count="3">
    <mergeCell ref="A2:B2"/>
    <mergeCell ref="E6:G6"/>
    <mergeCell ref="A3:B9"/>
  </mergeCells>
  <conditionalFormatting sqref="G5:R5">
    <cfRule type="colorScale" priority="20">
      <colorScale>
        <cfvo type="min"/>
        <cfvo type="percentile" val="50"/>
        <cfvo type="max"/>
        <color rgb="FFF8696B"/>
        <color rgb="FFFCFCFF"/>
        <color rgb="FF5A8AC6"/>
      </colorScale>
    </cfRule>
  </conditionalFormatting>
  <conditionalFormatting sqref="G8 G14:G17 G20:G23">
    <cfRule type="expression" dxfId="6" priority="21">
      <formula>#REF!=1</formula>
    </cfRule>
  </conditionalFormatting>
  <conditionalFormatting sqref="G48:R51 H47:R51">
    <cfRule type="expression" dxfId="5" priority="33">
      <formula>G74=1</formula>
    </cfRule>
  </conditionalFormatting>
  <conditionalFormatting sqref="G55:R58 H54:R58">
    <cfRule type="expression" dxfId="4" priority="35">
      <formula>#REF!=1</formula>
    </cfRule>
  </conditionalFormatting>
  <conditionalFormatting sqref="G33:R37">
    <cfRule type="expression" dxfId="3" priority="4">
      <formula>G66=1</formula>
    </cfRule>
  </conditionalFormatting>
  <conditionalFormatting sqref="G40:R44">
    <cfRule type="expression" dxfId="2" priority="3">
      <formula>G66=1</formula>
    </cfRule>
  </conditionalFormatting>
  <conditionalFormatting sqref="G47:R51">
    <cfRule type="expression" dxfId="1" priority="2">
      <formula>G74=1</formula>
    </cfRule>
  </conditionalFormatting>
  <conditionalFormatting sqref="G54:R58">
    <cfRule type="expression" dxfId="0" priority="1">
      <formula>G74=1</formula>
    </cfRule>
  </conditionalFormatting>
  <pageMargins left="0.75" right="0.75" top="1" bottom="1" header="0.5" footer="0.5"/>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5"/>
  <sheetViews>
    <sheetView workbookViewId="0">
      <pane xSplit="5" ySplit="2" topLeftCell="F3" activePane="bottomRight" state="frozen"/>
      <selection pane="topRight" activeCell="F1" sqref="F1"/>
      <selection pane="bottomLeft" activeCell="A3" sqref="A3"/>
      <selection pane="bottomRight" activeCell="D38" sqref="D38"/>
    </sheetView>
  </sheetViews>
  <sheetFormatPr baseColWidth="10" defaultRowHeight="15" x14ac:dyDescent="0"/>
  <cols>
    <col min="1" max="1" width="29.6640625" customWidth="1"/>
    <col min="2" max="2" width="21.33203125" customWidth="1"/>
    <col min="3" max="3" width="5" customWidth="1"/>
    <col min="5" max="5" width="46.5" bestFit="1" customWidth="1"/>
    <col min="6" max="6" width="14.1640625" bestFit="1" customWidth="1"/>
    <col min="7" max="17" width="12.5" bestFit="1" customWidth="1"/>
    <col min="18" max="18" width="13.83203125" bestFit="1" customWidth="1"/>
  </cols>
  <sheetData>
    <row r="1" spans="1:18" ht="31" thickBot="1">
      <c r="D1" s="27"/>
      <c r="E1" s="27"/>
      <c r="F1" s="106">
        <f>'1. Bottom Up Revenue Model'!G1</f>
        <v>41640</v>
      </c>
      <c r="G1" s="106">
        <f>'1. Bottom Up Revenue Model'!H1</f>
        <v>41671</v>
      </c>
      <c r="H1" s="106">
        <f>'1. Bottom Up Revenue Model'!I1</f>
        <v>41699</v>
      </c>
      <c r="I1" s="106">
        <f>'1. Bottom Up Revenue Model'!J1</f>
        <v>41730</v>
      </c>
      <c r="J1" s="106">
        <f>'1. Bottom Up Revenue Model'!K1</f>
        <v>41760</v>
      </c>
      <c r="K1" s="106">
        <f>'1. Bottom Up Revenue Model'!L1</f>
        <v>41791</v>
      </c>
      <c r="L1" s="106">
        <f>'1. Bottom Up Revenue Model'!M1</f>
        <v>41821</v>
      </c>
      <c r="M1" s="106">
        <f>'1. Bottom Up Revenue Model'!N1</f>
        <v>41852</v>
      </c>
      <c r="N1" s="106">
        <f>'1. Bottom Up Revenue Model'!O1</f>
        <v>41883</v>
      </c>
      <c r="O1" s="106">
        <f>'1. Bottom Up Revenue Model'!P1</f>
        <v>41913</v>
      </c>
      <c r="P1" s="106">
        <f>'1. Bottom Up Revenue Model'!Q1</f>
        <v>41944</v>
      </c>
      <c r="Q1" s="106">
        <f>'1. Bottom Up Revenue Model'!R1</f>
        <v>41974</v>
      </c>
      <c r="R1" s="54" t="s">
        <v>42</v>
      </c>
    </row>
    <row r="2" spans="1:18" ht="37" customHeight="1" thickTop="1" thickBot="1">
      <c r="A2" s="115" t="s">
        <v>66</v>
      </c>
      <c r="B2" s="116"/>
      <c r="D2" s="71" t="str">
        <f>CONCATENATE(B3, " By AE")</f>
        <v>SALs (AE Qualified/Opps) By AE</v>
      </c>
      <c r="E2" s="25"/>
      <c r="F2" s="26"/>
      <c r="G2" s="26"/>
      <c r="H2" s="26"/>
      <c r="I2" s="26"/>
      <c r="J2" s="26"/>
      <c r="K2" s="26"/>
      <c r="L2" s="26"/>
      <c r="M2" s="26"/>
      <c r="N2" s="26"/>
      <c r="O2" s="26"/>
      <c r="P2" s="26"/>
      <c r="Q2" s="67"/>
      <c r="R2" s="67"/>
    </row>
    <row r="3" spans="1:18" ht="31" thickTop="1">
      <c r="A3" s="75" t="s">
        <v>36</v>
      </c>
      <c r="B3" s="109" t="s">
        <v>35</v>
      </c>
      <c r="D3" s="25"/>
      <c r="E3" s="8" t="s">
        <v>38</v>
      </c>
      <c r="F3" s="99">
        <v>5</v>
      </c>
      <c r="G3" s="99">
        <v>5</v>
      </c>
      <c r="H3" s="99">
        <v>5</v>
      </c>
      <c r="I3" s="99">
        <v>5.5</v>
      </c>
      <c r="J3" s="99">
        <v>6</v>
      </c>
      <c r="K3" s="99">
        <v>6</v>
      </c>
      <c r="L3" s="99">
        <v>6</v>
      </c>
      <c r="M3" s="99">
        <v>6.5</v>
      </c>
      <c r="N3" s="99">
        <v>7</v>
      </c>
      <c r="O3" s="99">
        <v>7</v>
      </c>
      <c r="P3" s="99">
        <v>7</v>
      </c>
      <c r="Q3" s="99">
        <v>7</v>
      </c>
      <c r="R3" s="25"/>
    </row>
    <row r="4" spans="1:18">
      <c r="A4" s="76"/>
      <c r="B4" s="77"/>
      <c r="D4" s="25"/>
      <c r="E4" s="70" t="str">
        <f>CONCATENATE(B3," Per SDR Head")</f>
        <v>SALs (AE Qualified/Opps) Per SDR Head</v>
      </c>
      <c r="F4" s="8"/>
      <c r="G4" s="8"/>
      <c r="H4" s="8"/>
      <c r="I4" s="8"/>
      <c r="J4" s="8"/>
      <c r="K4" s="8"/>
      <c r="L4" s="8"/>
      <c r="M4" s="8"/>
      <c r="N4" s="8"/>
      <c r="O4" s="8"/>
      <c r="P4" s="8"/>
      <c r="Q4" s="8"/>
      <c r="R4" s="25"/>
    </row>
    <row r="5" spans="1:18">
      <c r="A5" s="78" t="s">
        <v>44</v>
      </c>
      <c r="B5" s="79">
        <v>1000</v>
      </c>
      <c r="D5" s="25"/>
      <c r="E5" s="17" t="s">
        <v>43</v>
      </c>
      <c r="F5" s="69">
        <f ca="1">IF($B$3=$A$43,SUM('1. Bottom Up Revenue Model'!G26:G29),SUM('1. Bottom Up Revenue Model'!G33:G36))/F3*$A$52</f>
        <v>5.7200000000000006</v>
      </c>
      <c r="G5" s="69">
        <f ca="1">IF($B$3=$A$43,SUM('1. Bottom Up Revenue Model'!H26:H29),SUM('1. Bottom Up Revenue Model'!H33:H36))/G3*$A$52</f>
        <v>9.240000000000002</v>
      </c>
      <c r="H5" s="69">
        <f ca="1">IF($B$3=$A$43,SUM('1. Bottom Up Revenue Model'!I26:I29),SUM('1. Bottom Up Revenue Model'!I33:I36))/H3*$A$52</f>
        <v>9.9</v>
      </c>
      <c r="I5" s="69">
        <f ca="1">IF($B$3=$A$43,SUM('1. Bottom Up Revenue Model'!J26:J29),SUM('1. Bottom Up Revenue Model'!J33:J36))/I3*$A$52</f>
        <v>10.8</v>
      </c>
      <c r="J5" s="69">
        <f ca="1">IF($B$3=$A$43,SUM('1. Bottom Up Revenue Model'!K26:K29),SUM('1. Bottom Up Revenue Model'!K33:K36))/J3*$A$52</f>
        <v>8.25</v>
      </c>
      <c r="K5" s="69">
        <f ca="1">IF($B$3=$A$43,SUM('1. Bottom Up Revenue Model'!L26:L29),SUM('1. Bottom Up Revenue Model'!L33:L36))/K3*$A$52</f>
        <v>4.4000000000000004</v>
      </c>
      <c r="L5" s="69">
        <f ca="1">IF($B$3=$A$43,SUM('1. Bottom Up Revenue Model'!M26:M29),SUM('1. Bottom Up Revenue Model'!M33:M36))/L3*$A$52</f>
        <v>3.8500000000000005</v>
      </c>
      <c r="M5" s="69">
        <f ca="1">IF($B$3=$A$43,SUM('1. Bottom Up Revenue Model'!N26:N29),SUM('1. Bottom Up Revenue Model'!N33:N36))/M3*$A$52</f>
        <v>6.430769230769231</v>
      </c>
      <c r="N5" s="69">
        <f ca="1">IF($B$3=$A$43,SUM('1. Bottom Up Revenue Model'!O26:O29),SUM('1. Bottom Up Revenue Model'!O33:O36))/N3*$A$52</f>
        <v>10.371428571428572</v>
      </c>
      <c r="O5" s="69">
        <f ca="1">IF($B$3=$A$43,SUM('1. Bottom Up Revenue Model'!P26:P29),SUM('1. Bottom Up Revenue Model'!P33:P36))/O3*$A$52</f>
        <v>7.0714285714285721</v>
      </c>
      <c r="P5" s="69">
        <f ca="1">IF($B$3=$A$43,SUM('1. Bottom Up Revenue Model'!Q26:Q29),SUM('1. Bottom Up Revenue Model'!Q33:Q36))/P3*$A$52</f>
        <v>21.842857142857145</v>
      </c>
      <c r="Q5" s="69">
        <f ca="1">IF($B$3=$A$43,SUM('1. Bottom Up Revenue Model'!R26:R29),SUM('1. Bottom Up Revenue Model'!R33:R36))/Q3*$A$52</f>
        <v>7.0714285714285721</v>
      </c>
      <c r="R5" s="72">
        <f ca="1">SUM(F5:Q5)</f>
        <v>104.94791208791209</v>
      </c>
    </row>
    <row r="6" spans="1:18">
      <c r="A6" s="76"/>
      <c r="B6" s="77"/>
      <c r="D6" s="25"/>
      <c r="E6" s="17" t="s">
        <v>69</v>
      </c>
      <c r="F6" s="69">
        <f ca="1">SUM($F5:$Q5)/12</f>
        <v>8.7456593406593406</v>
      </c>
      <c r="G6" s="69">
        <f t="shared" ref="G6:Q6" ca="1" si="0">SUM($F5:$Q5)/12</f>
        <v>8.7456593406593406</v>
      </c>
      <c r="H6" s="69">
        <f t="shared" ca="1" si="0"/>
        <v>8.7456593406593406</v>
      </c>
      <c r="I6" s="69">
        <f t="shared" ca="1" si="0"/>
        <v>8.7456593406593406</v>
      </c>
      <c r="J6" s="69">
        <f t="shared" ca="1" si="0"/>
        <v>8.7456593406593406</v>
      </c>
      <c r="K6" s="69">
        <f t="shared" ca="1" si="0"/>
        <v>8.7456593406593406</v>
      </c>
      <c r="L6" s="69">
        <f t="shared" ca="1" si="0"/>
        <v>8.7456593406593406</v>
      </c>
      <c r="M6" s="69">
        <f t="shared" ca="1" si="0"/>
        <v>8.7456593406593406</v>
      </c>
      <c r="N6" s="69">
        <f t="shared" ca="1" si="0"/>
        <v>8.7456593406593406</v>
      </c>
      <c r="O6" s="69">
        <f t="shared" ca="1" si="0"/>
        <v>8.7456593406593406</v>
      </c>
      <c r="P6" s="69">
        <f t="shared" ca="1" si="0"/>
        <v>8.7456593406593406</v>
      </c>
      <c r="Q6" s="69">
        <f t="shared" ca="1" si="0"/>
        <v>8.7456593406593406</v>
      </c>
      <c r="R6" s="72">
        <f ca="1">SUM(F6:Q6)</f>
        <v>104.94791208791212</v>
      </c>
    </row>
    <row r="7" spans="1:18">
      <c r="A7" s="78" t="s">
        <v>68</v>
      </c>
      <c r="B7" s="43">
        <v>0.1</v>
      </c>
      <c r="D7" s="25"/>
      <c r="E7" s="17" t="str">
        <f>CONCATENATE("Without Seasonality at ", '1. Bottom Up Revenue Model'!$B$7*100,"% Monthly Growth Rate")</f>
        <v>Without Seasonality at 5% Monthly Growth Rate</v>
      </c>
      <c r="F7" s="69">
        <f t="shared" ref="F7:Q7" ca="1" si="1">F$50*SUM($F$5:$Q$5)/SUM($F$50:$Q$50)</f>
        <v>6.5933956077515656</v>
      </c>
      <c r="G7" s="69">
        <f t="shared" ca="1" si="1"/>
        <v>6.9230653881391451</v>
      </c>
      <c r="H7" s="69">
        <f t="shared" ca="1" si="1"/>
        <v>7.2692186575461015</v>
      </c>
      <c r="I7" s="69">
        <f t="shared" ca="1" si="1"/>
        <v>7.6326795904234066</v>
      </c>
      <c r="J7" s="69">
        <f t="shared" ca="1" si="1"/>
        <v>8.0143135699445764</v>
      </c>
      <c r="K7" s="69">
        <f t="shared" ca="1" si="1"/>
        <v>8.4150292484418063</v>
      </c>
      <c r="L7" s="69">
        <f t="shared" ca="1" si="1"/>
        <v>8.8357807108638955</v>
      </c>
      <c r="M7" s="69">
        <f t="shared" ca="1" si="1"/>
        <v>9.2775697464070905</v>
      </c>
      <c r="N7" s="69">
        <f t="shared" ca="1" si="1"/>
        <v>9.7414482337274464</v>
      </c>
      <c r="O7" s="69">
        <f t="shared" ca="1" si="1"/>
        <v>10.22852064541382</v>
      </c>
      <c r="P7" s="69">
        <f t="shared" ca="1" si="1"/>
        <v>10.739946677684509</v>
      </c>
      <c r="Q7" s="69">
        <f t="shared" ca="1" si="1"/>
        <v>11.276944011568736</v>
      </c>
      <c r="R7" s="72">
        <f ca="1">SUM(F7:Q7)</f>
        <v>104.9479120879121</v>
      </c>
    </row>
    <row r="8" spans="1:18" ht="17" customHeight="1" thickBot="1">
      <c r="A8" s="80"/>
      <c r="B8" s="81"/>
      <c r="D8" s="25"/>
      <c r="E8" s="17" t="str">
        <f>CONCATENATE("Avg of Seasonality and ", '1. Bottom Up Revenue Model'!$B$7*100, "% Monthly Growth Rate")</f>
        <v>Avg of Seasonality and 5% Monthly Growth Rate</v>
      </c>
      <c r="F8" s="69">
        <f ca="1">(F5+F7)/2</f>
        <v>6.1566978038757831</v>
      </c>
      <c r="G8" s="69">
        <f t="shared" ref="G8:Q8" ca="1" si="2">(G5+G7)/2</f>
        <v>8.0815326940695726</v>
      </c>
      <c r="H8" s="69">
        <f t="shared" ca="1" si="2"/>
        <v>8.5846093287730518</v>
      </c>
      <c r="I8" s="69">
        <f t="shared" ca="1" si="2"/>
        <v>9.2163397952117041</v>
      </c>
      <c r="J8" s="69">
        <f t="shared" ca="1" si="2"/>
        <v>8.1321567849722882</v>
      </c>
      <c r="K8" s="69">
        <f t="shared" ca="1" si="2"/>
        <v>6.4075146242209033</v>
      </c>
      <c r="L8" s="69">
        <f t="shared" ca="1" si="2"/>
        <v>6.3428903554319476</v>
      </c>
      <c r="M8" s="69">
        <f t="shared" ca="1" si="2"/>
        <v>7.8541694885881608</v>
      </c>
      <c r="N8" s="69">
        <f t="shared" ca="1" si="2"/>
        <v>10.05643840257801</v>
      </c>
      <c r="O8" s="69">
        <f t="shared" ca="1" si="2"/>
        <v>8.6499746084211964</v>
      </c>
      <c r="P8" s="69">
        <f t="shared" ca="1" si="2"/>
        <v>16.291401910270828</v>
      </c>
      <c r="Q8" s="69">
        <f t="shared" ca="1" si="2"/>
        <v>9.1741862914986534</v>
      </c>
      <c r="R8" s="72">
        <f ca="1">SUM(F8:Q8)</f>
        <v>104.94791208791209</v>
      </c>
    </row>
    <row r="9" spans="1:18" ht="17" customHeight="1" thickTop="1">
      <c r="A9" s="107"/>
      <c r="B9" s="107"/>
      <c r="D9" s="27"/>
      <c r="E9" s="27"/>
      <c r="F9" s="27"/>
      <c r="G9" s="27"/>
      <c r="H9" s="27"/>
      <c r="I9" s="27"/>
      <c r="J9" s="27"/>
      <c r="K9" s="27"/>
      <c r="L9" s="27"/>
      <c r="M9" s="27"/>
      <c r="N9" s="27"/>
      <c r="O9" s="27"/>
      <c r="P9" s="27"/>
      <c r="Q9" s="27"/>
      <c r="R9" s="25"/>
    </row>
    <row r="10" spans="1:18" ht="30" customHeight="1">
      <c r="A10" s="118" t="s">
        <v>67</v>
      </c>
      <c r="B10" s="119"/>
      <c r="D10" s="71" t="s">
        <v>53</v>
      </c>
      <c r="E10" s="25"/>
      <c r="F10" s="25"/>
      <c r="G10" s="25"/>
      <c r="H10" s="25"/>
      <c r="I10" s="25"/>
      <c r="J10" s="25"/>
      <c r="K10" s="25"/>
      <c r="L10" s="25"/>
      <c r="M10" s="25"/>
      <c r="N10" s="25"/>
      <c r="O10" s="25"/>
      <c r="P10" s="25"/>
      <c r="Q10" s="25"/>
      <c r="R10" s="25"/>
    </row>
    <row r="11" spans="1:18" ht="30">
      <c r="A11" s="120" t="s">
        <v>70</v>
      </c>
      <c r="B11" s="120"/>
      <c r="D11" s="25"/>
      <c r="E11" s="18" t="s">
        <v>45</v>
      </c>
      <c r="F11" s="100">
        <v>3</v>
      </c>
      <c r="G11" s="100">
        <v>3</v>
      </c>
      <c r="H11" s="100">
        <v>3</v>
      </c>
      <c r="I11" s="100">
        <v>3</v>
      </c>
      <c r="J11" s="100">
        <v>3</v>
      </c>
      <c r="K11" s="100">
        <v>3</v>
      </c>
      <c r="L11" s="100">
        <v>3</v>
      </c>
      <c r="M11" s="100">
        <v>3.5</v>
      </c>
      <c r="N11" s="100">
        <v>4</v>
      </c>
      <c r="O11" s="100">
        <v>4</v>
      </c>
      <c r="P11" s="100">
        <v>4</v>
      </c>
      <c r="Q11" s="100">
        <v>4.5</v>
      </c>
      <c r="R11" s="25"/>
    </row>
    <row r="12" spans="1:18">
      <c r="A12" s="120"/>
      <c r="B12" s="120"/>
      <c r="D12" s="25"/>
      <c r="E12" s="27"/>
      <c r="F12" s="27"/>
      <c r="G12" s="27"/>
      <c r="H12" s="27"/>
      <c r="I12" s="27"/>
      <c r="J12" s="27"/>
      <c r="K12" s="27"/>
      <c r="L12" s="27"/>
      <c r="M12" s="27"/>
      <c r="N12" s="27"/>
      <c r="O12" s="27"/>
      <c r="P12" s="27"/>
      <c r="Q12" s="27"/>
      <c r="R12" s="25"/>
    </row>
    <row r="13" spans="1:18">
      <c r="A13" s="120"/>
      <c r="B13" s="120"/>
      <c r="D13" s="25"/>
      <c r="E13" s="25" t="s">
        <v>43</v>
      </c>
      <c r="F13" s="25"/>
      <c r="G13" s="25"/>
      <c r="H13" s="25"/>
      <c r="I13" s="25"/>
      <c r="J13" s="25"/>
      <c r="K13" s="25"/>
      <c r="L13" s="25"/>
      <c r="M13" s="25"/>
      <c r="N13" s="25"/>
      <c r="O13" s="25"/>
      <c r="P13" s="25"/>
      <c r="Q13" s="25"/>
      <c r="R13" s="25"/>
    </row>
    <row r="14" spans="1:18">
      <c r="A14" s="120"/>
      <c r="B14" s="120"/>
      <c r="D14" s="25"/>
      <c r="E14" s="17" t="s">
        <v>37</v>
      </c>
      <c r="F14" s="69">
        <f ca="1">'1. Bottom Up Revenue Model'!G32/'Sales &amp; SDR Hiring Plan, Quotas'!F11*$A$52</f>
        <v>11.733333333333334</v>
      </c>
      <c r="G14" s="69">
        <f ca="1">'1. Bottom Up Revenue Model'!H32/'Sales &amp; SDR Hiring Plan, Quotas'!G11*$A$52</f>
        <v>19.433333333333337</v>
      </c>
      <c r="H14" s="69">
        <f ca="1">'1. Bottom Up Revenue Model'!I32/'Sales &amp; SDR Hiring Plan, Quotas'!H11*$A$52</f>
        <v>20.533333333333335</v>
      </c>
      <c r="I14" s="69">
        <f ca="1">'1. Bottom Up Revenue Model'!J32/'Sales &amp; SDR Hiring Plan, Quotas'!I11*$A$52</f>
        <v>24.933333333333337</v>
      </c>
      <c r="J14" s="69">
        <f ca="1">'1. Bottom Up Revenue Model'!K32/'Sales &amp; SDR Hiring Plan, Quotas'!J11*$A$52</f>
        <v>20.533333333333335</v>
      </c>
      <c r="K14" s="69">
        <f ca="1">'1. Bottom Up Revenue Model'!L32/'Sales &amp; SDR Hiring Plan, Quotas'!K11*$A$52</f>
        <v>11</v>
      </c>
      <c r="L14" s="69">
        <f ca="1">'1. Bottom Up Revenue Model'!M32/'Sales &amp; SDR Hiring Plan, Quotas'!L11*$A$52</f>
        <v>9.9</v>
      </c>
      <c r="M14" s="69">
        <f ca="1">'1. Bottom Up Revenue Model'!N32/'Sales &amp; SDR Hiring Plan, Quotas'!M11*$A$52</f>
        <v>14.771428571428572</v>
      </c>
      <c r="N14" s="69">
        <f ca="1">'1. Bottom Up Revenue Model'!O32/'Sales &amp; SDR Hiring Plan, Quotas'!N11*$A$52</f>
        <v>22.825000000000003</v>
      </c>
      <c r="O14" s="69">
        <f ca="1">'1. Bottom Up Revenue Model'!P32/'Sales &amp; SDR Hiring Plan, Quotas'!O11*$A$52</f>
        <v>15.400000000000002</v>
      </c>
      <c r="P14" s="69">
        <f ca="1">'1. Bottom Up Revenue Model'!Q32/'Sales &amp; SDR Hiring Plan, Quotas'!P11*$A$52</f>
        <v>47.575000000000003</v>
      </c>
      <c r="Q14" s="69">
        <f ca="1">'1. Bottom Up Revenue Model'!R32/'Sales &amp; SDR Hiring Plan, Quotas'!Q11*$A$52</f>
        <v>13.68888888888889</v>
      </c>
      <c r="R14" s="72">
        <f ca="1">SUM(F14:Q14)</f>
        <v>232.32698412698417</v>
      </c>
    </row>
    <row r="15" spans="1:18">
      <c r="A15" s="120"/>
      <c r="B15" s="120"/>
      <c r="D15" s="25"/>
      <c r="E15" s="17" t="s">
        <v>39</v>
      </c>
      <c r="F15" s="6">
        <f ca="1">ROUND('1. Bottom Up Revenue Model'!G$39/'Sales &amp; SDR Hiring Plan, Quotas'!F$11,$A$51)*$A$52</f>
        <v>240900.00000000003</v>
      </c>
      <c r="G15" s="6">
        <f ca="1">ROUND('1. Bottom Up Revenue Model'!H$39/'Sales &amp; SDR Hiring Plan, Quotas'!G$11,$A$51)*$A$52</f>
        <v>378400.00000000006</v>
      </c>
      <c r="H15" s="6">
        <f ca="1">ROUND('1. Bottom Up Revenue Model'!I$39/'Sales &amp; SDR Hiring Plan, Quotas'!H$11,$A$51)*$A$52</f>
        <v>398200.00000000006</v>
      </c>
      <c r="I15" s="6">
        <f ca="1">ROUND('1. Bottom Up Revenue Model'!J$39/'Sales &amp; SDR Hiring Plan, Quotas'!I$11,$A$51)*$A$52</f>
        <v>512600.00000000006</v>
      </c>
      <c r="J15" s="6">
        <f ca="1">ROUND('1. Bottom Up Revenue Model'!K$39/'Sales &amp; SDR Hiring Plan, Quotas'!J$11,$A$51)*$A$52</f>
        <v>440000.00000000006</v>
      </c>
      <c r="K15" s="6">
        <f ca="1">ROUND('1. Bottom Up Revenue Model'!L$39/'Sales &amp; SDR Hiring Plan, Quotas'!K$11,$A$51)*$A$52</f>
        <v>204600.00000000003</v>
      </c>
      <c r="L15" s="6">
        <f ca="1">ROUND('1. Bottom Up Revenue Model'!M$39/'Sales &amp; SDR Hiring Plan, Quotas'!L$11,$A$51)*$A$52</f>
        <v>161700</v>
      </c>
      <c r="M15" s="6">
        <f ca="1">ROUND('1. Bottom Up Revenue Model'!N$39/'Sales &amp; SDR Hiring Plan, Quotas'!M$11,$A$51)*$A$52</f>
        <v>291500</v>
      </c>
      <c r="N15" s="6">
        <f ca="1">ROUND('1. Bottom Up Revenue Model'!O$39/'Sales &amp; SDR Hiring Plan, Quotas'!N$11,$A$51)*$A$52</f>
        <v>445500.00000000006</v>
      </c>
      <c r="O15" s="6">
        <f ca="1">ROUND('1. Bottom Up Revenue Model'!P$39/'Sales &amp; SDR Hiring Plan, Quotas'!O$11,$A$51)*$A$52</f>
        <v>326700</v>
      </c>
      <c r="P15" s="6">
        <f ca="1">ROUND('1. Bottom Up Revenue Model'!Q$39/'Sales &amp; SDR Hiring Plan, Quotas'!P$11,$A$51)*$A$52</f>
        <v>981200.00000000012</v>
      </c>
      <c r="Q15" s="6">
        <f ca="1">ROUND('1. Bottom Up Revenue Model'!R$39/'Sales &amp; SDR Hiring Plan, Quotas'!Q$11,$A$51)*$A$52</f>
        <v>275000</v>
      </c>
      <c r="R15" s="73">
        <f ca="1">ROUND(SUM(F15:Q15),$A$51)</f>
        <v>4656000</v>
      </c>
    </row>
    <row r="16" spans="1:18">
      <c r="A16" s="120"/>
      <c r="B16" s="120"/>
      <c r="D16" s="25"/>
      <c r="E16" s="17" t="s">
        <v>41</v>
      </c>
      <c r="F16" s="69">
        <f>'1. Bottom Up Revenue Model'!G46/'Sales &amp; SDR Hiring Plan, Quotas'!F11</f>
        <v>3.6666666666666665</v>
      </c>
      <c r="G16" s="69">
        <f>'1. Bottom Up Revenue Model'!H46/'Sales &amp; SDR Hiring Plan, Quotas'!G11</f>
        <v>4</v>
      </c>
      <c r="H16" s="69">
        <f>'1. Bottom Up Revenue Model'!I46/'Sales &amp; SDR Hiring Plan, Quotas'!H11</f>
        <v>6</v>
      </c>
      <c r="I16" s="69">
        <f>'1. Bottom Up Revenue Model'!J46/'Sales &amp; SDR Hiring Plan, Quotas'!I11</f>
        <v>6.333333333333333</v>
      </c>
      <c r="J16" s="69">
        <f>'1. Bottom Up Revenue Model'!K46/'Sales &amp; SDR Hiring Plan, Quotas'!J11</f>
        <v>8</v>
      </c>
      <c r="K16" s="69">
        <f>'1. Bottom Up Revenue Model'!L46/'Sales &amp; SDR Hiring Plan, Quotas'!K11</f>
        <v>7</v>
      </c>
      <c r="L16" s="69">
        <f>'1. Bottom Up Revenue Model'!M46/'Sales &amp; SDR Hiring Plan, Quotas'!L11</f>
        <v>3.3333333333333335</v>
      </c>
      <c r="M16" s="69">
        <f>'1. Bottom Up Revenue Model'!N46/'Sales &amp; SDR Hiring Plan, Quotas'!M11</f>
        <v>2.2857142857142856</v>
      </c>
      <c r="N16" s="69">
        <f>'1. Bottom Up Revenue Model'!O46/'Sales &amp; SDR Hiring Plan, Quotas'!N11</f>
        <v>4</v>
      </c>
      <c r="O16" s="69">
        <f>'1. Bottom Up Revenue Model'!P46/'Sales &amp; SDR Hiring Plan, Quotas'!O11</f>
        <v>7</v>
      </c>
      <c r="P16" s="69">
        <f>'1. Bottom Up Revenue Model'!Q46/'Sales &amp; SDR Hiring Plan, Quotas'!P11</f>
        <v>5.25</v>
      </c>
      <c r="Q16" s="69">
        <f>'1. Bottom Up Revenue Model'!R46/'Sales &amp; SDR Hiring Plan, Quotas'!Q11</f>
        <v>13.777777777777779</v>
      </c>
      <c r="R16" s="72">
        <f>SUM(F16:Q16)</f>
        <v>70.646825396825392</v>
      </c>
    </row>
    <row r="17" spans="1:18">
      <c r="A17" s="120"/>
      <c r="B17" s="120"/>
      <c r="D17" s="25"/>
      <c r="E17" s="17" t="s">
        <v>40</v>
      </c>
      <c r="F17" s="10">
        <f>ROUND('1. Bottom Up Revenue Model'!G53/'Sales &amp; SDR Hiring Plan, Quotas'!F11,$A$51)</f>
        <v>73000</v>
      </c>
      <c r="G17" s="10">
        <f>ROUND('1. Bottom Up Revenue Model'!H53/'Sales &amp; SDR Hiring Plan, Quotas'!G11,$A$51)</f>
        <v>77000</v>
      </c>
      <c r="H17" s="10">
        <f>ROUND('1. Bottom Up Revenue Model'!I53/'Sales &amp; SDR Hiring Plan, Quotas'!H11,$A$51)</f>
        <v>121000</v>
      </c>
      <c r="I17" s="10">
        <f>ROUND('1. Bottom Up Revenue Model'!J53/'Sales &amp; SDR Hiring Plan, Quotas'!I11,$A$51)</f>
        <v>127000</v>
      </c>
      <c r="J17" s="10">
        <f>ROUND('1. Bottom Up Revenue Model'!K53/'Sales &amp; SDR Hiring Plan, Quotas'!J11,$A$51)</f>
        <v>163000</v>
      </c>
      <c r="K17" s="10">
        <f>ROUND('1. Bottom Up Revenue Model'!L53/'Sales &amp; SDR Hiring Plan, Quotas'!K11,$A$51)</f>
        <v>140000</v>
      </c>
      <c r="L17" s="10">
        <f>ROUND('1. Bottom Up Revenue Model'!M53/'Sales &amp; SDR Hiring Plan, Quotas'!L11,$A$51)</f>
        <v>65000</v>
      </c>
      <c r="M17" s="10">
        <f>ROUND('1. Bottom Up Revenue Model'!N53/'Sales &amp; SDR Hiring Plan, Quotas'!M11,$A$51)</f>
        <v>44000</v>
      </c>
      <c r="N17" s="10">
        <f>ROUND('1. Bottom Up Revenue Model'!O53/'Sales &amp; SDR Hiring Plan, Quotas'!N11,$A$51)</f>
        <v>81000</v>
      </c>
      <c r="O17" s="10">
        <f>ROUND('1. Bottom Up Revenue Model'!P53/'Sales &amp; SDR Hiring Plan, Quotas'!O11,$A$51)</f>
        <v>142000</v>
      </c>
      <c r="P17" s="10">
        <f>ROUND('1. Bottom Up Revenue Model'!Q53/'Sales &amp; SDR Hiring Plan, Quotas'!P11,$A$51)</f>
        <v>104000</v>
      </c>
      <c r="Q17" s="10">
        <f>ROUND('1. Bottom Up Revenue Model'!R53/'Sales &amp; SDR Hiring Plan, Quotas'!Q11,$A$51)</f>
        <v>277000</v>
      </c>
      <c r="R17" s="74">
        <f>ROUND(SUM(F17:Q17),$A$51)</f>
        <v>1414000</v>
      </c>
    </row>
    <row r="18" spans="1:18">
      <c r="A18" s="120"/>
      <c r="B18" s="120"/>
      <c r="D18" s="25"/>
      <c r="E18" s="27"/>
      <c r="F18" s="27"/>
      <c r="G18" s="27"/>
      <c r="H18" s="27"/>
      <c r="I18" s="27"/>
      <c r="J18" s="27"/>
      <c r="K18" s="27"/>
      <c r="L18" s="27"/>
      <c r="M18" s="27"/>
      <c r="N18" s="27"/>
      <c r="O18" s="27"/>
      <c r="P18" s="27"/>
      <c r="Q18" s="27"/>
      <c r="R18" s="25"/>
    </row>
    <row r="19" spans="1:18">
      <c r="A19" s="120"/>
      <c r="B19" s="120"/>
      <c r="D19" s="25"/>
      <c r="E19" s="25" t="s">
        <v>69</v>
      </c>
      <c r="F19" s="25"/>
      <c r="G19" s="25"/>
      <c r="H19" s="25"/>
      <c r="I19" s="25"/>
      <c r="J19" s="25"/>
      <c r="K19" s="25"/>
      <c r="L19" s="25"/>
      <c r="M19" s="25"/>
      <c r="N19" s="25"/>
      <c r="O19" s="25"/>
      <c r="P19" s="25"/>
      <c r="Q19" s="25"/>
      <c r="R19" s="25"/>
    </row>
    <row r="20" spans="1:18">
      <c r="A20" s="120"/>
      <c r="B20" s="120"/>
      <c r="D20" s="25"/>
      <c r="E20" s="17" t="s">
        <v>37</v>
      </c>
      <c r="F20" s="110">
        <f ca="1">SUM($F14:$Q14)/12</f>
        <v>19.360582010582014</v>
      </c>
      <c r="G20" s="110">
        <f t="shared" ref="G20:Q20" ca="1" si="3">SUM($F14:$Q14)/12</f>
        <v>19.360582010582014</v>
      </c>
      <c r="H20" s="110">
        <f t="shared" ca="1" si="3"/>
        <v>19.360582010582014</v>
      </c>
      <c r="I20" s="110">
        <f t="shared" ca="1" si="3"/>
        <v>19.360582010582014</v>
      </c>
      <c r="J20" s="110">
        <f t="shared" ca="1" si="3"/>
        <v>19.360582010582014</v>
      </c>
      <c r="K20" s="110">
        <f t="shared" ca="1" si="3"/>
        <v>19.360582010582014</v>
      </c>
      <c r="L20" s="110">
        <f t="shared" ca="1" si="3"/>
        <v>19.360582010582014</v>
      </c>
      <c r="M20" s="110">
        <f t="shared" ca="1" si="3"/>
        <v>19.360582010582014</v>
      </c>
      <c r="N20" s="110">
        <f t="shared" ca="1" si="3"/>
        <v>19.360582010582014</v>
      </c>
      <c r="O20" s="110">
        <f t="shared" ca="1" si="3"/>
        <v>19.360582010582014</v>
      </c>
      <c r="P20" s="110">
        <f t="shared" ca="1" si="3"/>
        <v>19.360582010582014</v>
      </c>
      <c r="Q20" s="110">
        <f t="shared" ca="1" si="3"/>
        <v>19.360582010582014</v>
      </c>
      <c r="R20" s="72">
        <f ca="1">SUM(F20:Q20)</f>
        <v>232.32698412698423</v>
      </c>
    </row>
    <row r="21" spans="1:18">
      <c r="A21" s="120"/>
      <c r="B21" s="120"/>
      <c r="D21" s="25"/>
      <c r="E21" s="17" t="s">
        <v>39</v>
      </c>
      <c r="F21" s="110">
        <f t="shared" ref="F21:Q21" ca="1" si="4">SUM($F15:$Q15)/12</f>
        <v>388025.00000000006</v>
      </c>
      <c r="G21" s="110">
        <f t="shared" ca="1" si="4"/>
        <v>388025.00000000006</v>
      </c>
      <c r="H21" s="110">
        <f t="shared" ca="1" si="4"/>
        <v>388025.00000000006</v>
      </c>
      <c r="I21" s="110">
        <f t="shared" ca="1" si="4"/>
        <v>388025.00000000006</v>
      </c>
      <c r="J21" s="110">
        <f t="shared" ca="1" si="4"/>
        <v>388025.00000000006</v>
      </c>
      <c r="K21" s="110">
        <f t="shared" ca="1" si="4"/>
        <v>388025.00000000006</v>
      </c>
      <c r="L21" s="110">
        <f t="shared" ca="1" si="4"/>
        <v>388025.00000000006</v>
      </c>
      <c r="M21" s="110">
        <f t="shared" ca="1" si="4"/>
        <v>388025.00000000006</v>
      </c>
      <c r="N21" s="110">
        <f t="shared" ca="1" si="4"/>
        <v>388025.00000000006</v>
      </c>
      <c r="O21" s="110">
        <f t="shared" ca="1" si="4"/>
        <v>388025.00000000006</v>
      </c>
      <c r="P21" s="110">
        <f t="shared" ca="1" si="4"/>
        <v>388025.00000000006</v>
      </c>
      <c r="Q21" s="110">
        <f t="shared" ca="1" si="4"/>
        <v>388025.00000000006</v>
      </c>
      <c r="R21" s="73">
        <f ca="1">ROUND(SUM(F21:Q21),$A$51)</f>
        <v>4656000</v>
      </c>
    </row>
    <row r="22" spans="1:18">
      <c r="A22" s="120"/>
      <c r="B22" s="120"/>
      <c r="D22" s="25"/>
      <c r="E22" s="17" t="s">
        <v>41</v>
      </c>
      <c r="F22" s="110">
        <f t="shared" ref="F22:Q22" si="5">SUM($F16:$Q16)/12</f>
        <v>5.8872354497354493</v>
      </c>
      <c r="G22" s="110">
        <f t="shared" si="5"/>
        <v>5.8872354497354493</v>
      </c>
      <c r="H22" s="110">
        <f t="shared" si="5"/>
        <v>5.8872354497354493</v>
      </c>
      <c r="I22" s="110">
        <f t="shared" si="5"/>
        <v>5.8872354497354493</v>
      </c>
      <c r="J22" s="110">
        <f t="shared" si="5"/>
        <v>5.8872354497354493</v>
      </c>
      <c r="K22" s="110">
        <f t="shared" si="5"/>
        <v>5.8872354497354493</v>
      </c>
      <c r="L22" s="110">
        <f t="shared" si="5"/>
        <v>5.8872354497354493</v>
      </c>
      <c r="M22" s="110">
        <f t="shared" si="5"/>
        <v>5.8872354497354493</v>
      </c>
      <c r="N22" s="110">
        <f t="shared" si="5"/>
        <v>5.8872354497354493</v>
      </c>
      <c r="O22" s="110">
        <f t="shared" si="5"/>
        <v>5.8872354497354493</v>
      </c>
      <c r="P22" s="110">
        <f t="shared" si="5"/>
        <v>5.8872354497354493</v>
      </c>
      <c r="Q22" s="110">
        <f t="shared" si="5"/>
        <v>5.8872354497354493</v>
      </c>
      <c r="R22" s="72">
        <f>SUM(F22:Q22)</f>
        <v>70.646825396825392</v>
      </c>
    </row>
    <row r="23" spans="1:18">
      <c r="A23" s="120"/>
      <c r="B23" s="120"/>
      <c r="D23" s="25"/>
      <c r="E23" s="17" t="s">
        <v>40</v>
      </c>
      <c r="F23" s="110">
        <f t="shared" ref="F23:Q23" si="6">SUM($F17:$Q17)/12</f>
        <v>117833.33333333333</v>
      </c>
      <c r="G23" s="110">
        <f t="shared" si="6"/>
        <v>117833.33333333333</v>
      </c>
      <c r="H23" s="110">
        <f t="shared" si="6"/>
        <v>117833.33333333333</v>
      </c>
      <c r="I23" s="110">
        <f t="shared" si="6"/>
        <v>117833.33333333333</v>
      </c>
      <c r="J23" s="110">
        <f t="shared" si="6"/>
        <v>117833.33333333333</v>
      </c>
      <c r="K23" s="110">
        <f t="shared" si="6"/>
        <v>117833.33333333333</v>
      </c>
      <c r="L23" s="110">
        <f t="shared" si="6"/>
        <v>117833.33333333333</v>
      </c>
      <c r="M23" s="110">
        <f t="shared" si="6"/>
        <v>117833.33333333333</v>
      </c>
      <c r="N23" s="110">
        <f t="shared" si="6"/>
        <v>117833.33333333333</v>
      </c>
      <c r="O23" s="110">
        <f t="shared" si="6"/>
        <v>117833.33333333333</v>
      </c>
      <c r="P23" s="110">
        <f t="shared" si="6"/>
        <v>117833.33333333333</v>
      </c>
      <c r="Q23" s="110">
        <f t="shared" si="6"/>
        <v>117833.33333333333</v>
      </c>
      <c r="R23" s="74">
        <f>ROUND(SUM(F23:Q23),$A$51)</f>
        <v>1414000</v>
      </c>
    </row>
    <row r="24" spans="1:18">
      <c r="A24" s="120"/>
      <c r="B24" s="120"/>
      <c r="D24" s="25"/>
      <c r="E24" s="27"/>
      <c r="F24" s="27"/>
      <c r="G24" s="27"/>
      <c r="H24" s="27"/>
      <c r="I24" s="27"/>
      <c r="J24" s="27"/>
      <c r="K24" s="27"/>
      <c r="L24" s="27"/>
      <c r="M24" s="27"/>
      <c r="N24" s="27"/>
      <c r="O24" s="27"/>
      <c r="P24" s="27"/>
      <c r="Q24" s="27"/>
      <c r="R24" s="25"/>
    </row>
    <row r="25" spans="1:18">
      <c r="A25" s="120"/>
      <c r="B25" s="120"/>
      <c r="D25" s="25"/>
      <c r="E25" s="25" t="str">
        <f>CONCATENATE("Without Seasonality at ", '1. Bottom Up Revenue Model'!$B$7*100,"% Monthly Growth Rate")</f>
        <v>Without Seasonality at 5% Monthly Growth Rate</v>
      </c>
      <c r="F25" s="25"/>
      <c r="G25" s="25"/>
      <c r="H25" s="25"/>
      <c r="I25" s="25"/>
      <c r="J25" s="25"/>
      <c r="K25" s="25"/>
      <c r="L25" s="25"/>
      <c r="M25" s="25"/>
      <c r="N25" s="25"/>
      <c r="O25" s="25"/>
      <c r="P25" s="25"/>
      <c r="Q25" s="25"/>
      <c r="R25" s="25"/>
    </row>
    <row r="26" spans="1:18">
      <c r="A26" s="120"/>
      <c r="B26" s="120"/>
      <c r="D26" s="25"/>
      <c r="E26" s="17" t="s">
        <v>37</v>
      </c>
      <c r="F26" s="69">
        <f t="shared" ref="F26:Q26" ca="1" si="7">F$53*SUM($F$14:$Q$14)/SUM($F$53:$Q$53)</f>
        <v>14.596038036677252</v>
      </c>
      <c r="G26" s="69">
        <f t="shared" ca="1" si="7"/>
        <v>15.325839938511116</v>
      </c>
      <c r="H26" s="69">
        <f t="shared" ca="1" si="7"/>
        <v>16.092131935436669</v>
      </c>
      <c r="I26" s="69">
        <f t="shared" ca="1" si="7"/>
        <v>16.896738532208502</v>
      </c>
      <c r="J26" s="69">
        <f t="shared" ca="1" si="7"/>
        <v>17.741575458818925</v>
      </c>
      <c r="K26" s="69">
        <f t="shared" ca="1" si="7"/>
        <v>18.628654231759878</v>
      </c>
      <c r="L26" s="69">
        <f t="shared" ca="1" si="7"/>
        <v>19.560086943347866</v>
      </c>
      <c r="M26" s="69">
        <f t="shared" ca="1" si="7"/>
        <v>20.538091290515265</v>
      </c>
      <c r="N26" s="69">
        <f t="shared" ca="1" si="7"/>
        <v>21.564995855041026</v>
      </c>
      <c r="O26" s="69">
        <f t="shared" ca="1" si="7"/>
        <v>22.64324564779308</v>
      </c>
      <c r="P26" s="69">
        <f t="shared" ca="1" si="7"/>
        <v>23.775407930182737</v>
      </c>
      <c r="Q26" s="69">
        <f t="shared" ca="1" si="7"/>
        <v>24.964178326691876</v>
      </c>
      <c r="R26" s="72">
        <f ca="1">SUM(F26:Q26)</f>
        <v>232.32698412698414</v>
      </c>
    </row>
    <row r="27" spans="1:18">
      <c r="A27" s="120"/>
      <c r="B27" s="120"/>
      <c r="D27" s="25"/>
      <c r="E27" s="17" t="s">
        <v>39</v>
      </c>
      <c r="F27" s="6">
        <f ca="1">ROUND('Sales &amp; SDR Hiring Plan, Quotas'!F26*'1. Bottom Up Revenue Model'!$B$17,$A$51)</f>
        <v>292000</v>
      </c>
      <c r="G27" s="6">
        <f ca="1">ROUND('Sales &amp; SDR Hiring Plan, Quotas'!G26*'1. Bottom Up Revenue Model'!$B$17,$A$51)</f>
        <v>307000</v>
      </c>
      <c r="H27" s="6">
        <f ca="1">ROUND('Sales &amp; SDR Hiring Plan, Quotas'!H26*'1. Bottom Up Revenue Model'!$B$17,$A$51)</f>
        <v>322000</v>
      </c>
      <c r="I27" s="6">
        <f ca="1">ROUND('Sales &amp; SDR Hiring Plan, Quotas'!I26*'1. Bottom Up Revenue Model'!$B$17,$A$51)</f>
        <v>338000</v>
      </c>
      <c r="J27" s="6">
        <f ca="1">ROUND('Sales &amp; SDR Hiring Plan, Quotas'!J26*'1. Bottom Up Revenue Model'!$B$17,$A$51)</f>
        <v>355000</v>
      </c>
      <c r="K27" s="6">
        <f ca="1">ROUND('Sales &amp; SDR Hiring Plan, Quotas'!K26*'1. Bottom Up Revenue Model'!$B$17,$A$51)</f>
        <v>373000</v>
      </c>
      <c r="L27" s="6">
        <f ca="1">ROUND('Sales &amp; SDR Hiring Plan, Quotas'!L26*'1. Bottom Up Revenue Model'!$B$17,$A$51)</f>
        <v>391000</v>
      </c>
      <c r="M27" s="6">
        <f ca="1">ROUND('Sales &amp; SDR Hiring Plan, Quotas'!M26*'1. Bottom Up Revenue Model'!$B$17,$A$51)</f>
        <v>411000</v>
      </c>
      <c r="N27" s="6">
        <f ca="1">ROUND('Sales &amp; SDR Hiring Plan, Quotas'!N26*'1. Bottom Up Revenue Model'!$B$17,$A$51)</f>
        <v>431000</v>
      </c>
      <c r="O27" s="6">
        <f ca="1">ROUND('Sales &amp; SDR Hiring Plan, Quotas'!O26*'1. Bottom Up Revenue Model'!$B$17,$A$51)</f>
        <v>453000</v>
      </c>
      <c r="P27" s="6">
        <f ca="1">ROUND('Sales &amp; SDR Hiring Plan, Quotas'!P26*'1. Bottom Up Revenue Model'!$B$17,$A$51)</f>
        <v>476000</v>
      </c>
      <c r="Q27" s="6">
        <f ca="1">ROUND('Sales &amp; SDR Hiring Plan, Quotas'!Q26*'1. Bottom Up Revenue Model'!$B$17,$A$51)</f>
        <v>499000</v>
      </c>
      <c r="R27" s="73">
        <f ca="1">ROUND(SUM(F27:Q27),$A$51)</f>
        <v>4648000</v>
      </c>
    </row>
    <row r="28" spans="1:18">
      <c r="A28" s="120"/>
      <c r="B28" s="120"/>
      <c r="D28" s="25"/>
      <c r="E28" s="17" t="s">
        <v>41</v>
      </c>
      <c r="F28" s="69">
        <f t="shared" ref="F28:Q28" si="8">F54*SUM($F$16:$Q$16)/SUM($F$54:$Q$54)</f>
        <v>4.4384157722245092</v>
      </c>
      <c r="G28" s="69">
        <f t="shared" si="8"/>
        <v>4.6603365608357343</v>
      </c>
      <c r="H28" s="69">
        <f t="shared" si="8"/>
        <v>4.8933533888775216</v>
      </c>
      <c r="I28" s="69">
        <f t="shared" si="8"/>
        <v>5.1380210583213977</v>
      </c>
      <c r="J28" s="69">
        <f t="shared" si="8"/>
        <v>5.3949221112374675</v>
      </c>
      <c r="K28" s="69">
        <f t="shared" si="8"/>
        <v>5.664668216799341</v>
      </c>
      <c r="L28" s="69">
        <f t="shared" si="8"/>
        <v>5.9479016276393084</v>
      </c>
      <c r="M28" s="69">
        <f t="shared" si="8"/>
        <v>6.2452967090212743</v>
      </c>
      <c r="N28" s="69">
        <f t="shared" si="8"/>
        <v>6.5575615444723372</v>
      </c>
      <c r="O28" s="69">
        <f t="shared" si="8"/>
        <v>6.885439621695955</v>
      </c>
      <c r="P28" s="69">
        <f t="shared" si="8"/>
        <v>7.2297116027807515</v>
      </c>
      <c r="Q28" s="69">
        <f t="shared" si="8"/>
        <v>7.5911971829197888</v>
      </c>
      <c r="R28" s="72">
        <f>SUM(F28:Q28)</f>
        <v>70.646825396825378</v>
      </c>
    </row>
    <row r="29" spans="1:18">
      <c r="A29" s="120"/>
      <c r="B29" s="120"/>
      <c r="D29" s="25"/>
      <c r="E29" s="17" t="s">
        <v>40</v>
      </c>
      <c r="F29" s="6">
        <f>ROUND('Sales &amp; SDR Hiring Plan, Quotas'!F28*'1. Bottom Up Revenue Model'!$B$17,$A$51)</f>
        <v>89000</v>
      </c>
      <c r="G29" s="6">
        <f>ROUND('Sales &amp; SDR Hiring Plan, Quotas'!G28*'1. Bottom Up Revenue Model'!$B$17,$A$51)</f>
        <v>93000</v>
      </c>
      <c r="H29" s="6">
        <f>ROUND('Sales &amp; SDR Hiring Plan, Quotas'!H28*'1. Bottom Up Revenue Model'!$B$17,$A$51)</f>
        <v>98000</v>
      </c>
      <c r="I29" s="6">
        <f>ROUND('Sales &amp; SDR Hiring Plan, Quotas'!I28*'1. Bottom Up Revenue Model'!$B$17,$A$51)</f>
        <v>103000</v>
      </c>
      <c r="J29" s="6">
        <f>ROUND('Sales &amp; SDR Hiring Plan, Quotas'!J28*'1. Bottom Up Revenue Model'!$B$17,$A$51)</f>
        <v>108000</v>
      </c>
      <c r="K29" s="6">
        <f>ROUND('Sales &amp; SDR Hiring Plan, Quotas'!K28*'1. Bottom Up Revenue Model'!$B$17,$A$51)</f>
        <v>113000</v>
      </c>
      <c r="L29" s="6">
        <f>ROUND('Sales &amp; SDR Hiring Plan, Quotas'!L28*'1. Bottom Up Revenue Model'!$B$17,$A$51)</f>
        <v>119000</v>
      </c>
      <c r="M29" s="6">
        <f>ROUND('Sales &amp; SDR Hiring Plan, Quotas'!M28*'1. Bottom Up Revenue Model'!$B$17,$A$51)</f>
        <v>125000</v>
      </c>
      <c r="N29" s="6">
        <f>ROUND('Sales &amp; SDR Hiring Plan, Quotas'!N28*'1. Bottom Up Revenue Model'!$B$17,$A$51)</f>
        <v>131000</v>
      </c>
      <c r="O29" s="6">
        <f>ROUND('Sales &amp; SDR Hiring Plan, Quotas'!O28*'1. Bottom Up Revenue Model'!$B$17,$A$51)</f>
        <v>138000</v>
      </c>
      <c r="P29" s="6">
        <f>ROUND('Sales &amp; SDR Hiring Plan, Quotas'!P28*'1. Bottom Up Revenue Model'!$B$17,$A$51)</f>
        <v>145000</v>
      </c>
      <c r="Q29" s="6">
        <f>ROUND('Sales &amp; SDR Hiring Plan, Quotas'!Q28*'1. Bottom Up Revenue Model'!$B$17,$A$51)</f>
        <v>152000</v>
      </c>
      <c r="R29" s="73">
        <f>ROUND(SUM(F29:Q29),$A$51)</f>
        <v>1414000</v>
      </c>
    </row>
    <row r="30" spans="1:18">
      <c r="A30" s="120"/>
      <c r="B30" s="120"/>
      <c r="D30" s="27"/>
      <c r="E30" s="27"/>
      <c r="F30" s="27"/>
      <c r="G30" s="27"/>
      <c r="H30" s="27"/>
      <c r="I30" s="27"/>
      <c r="J30" s="27"/>
      <c r="K30" s="27"/>
      <c r="L30" s="27"/>
      <c r="M30" s="27"/>
      <c r="N30" s="27"/>
      <c r="O30" s="27"/>
      <c r="P30" s="27"/>
      <c r="Q30" s="27"/>
      <c r="R30" s="25"/>
    </row>
    <row r="31" spans="1:18">
      <c r="A31" s="120"/>
      <c r="B31" s="120"/>
      <c r="D31" s="25"/>
      <c r="E31" s="25" t="s">
        <v>52</v>
      </c>
      <c r="F31" s="25"/>
      <c r="G31" s="25"/>
      <c r="H31" s="25"/>
      <c r="I31" s="25"/>
      <c r="J31" s="25"/>
      <c r="K31" s="25"/>
      <c r="L31" s="25"/>
      <c r="M31" s="25"/>
      <c r="N31" s="25"/>
      <c r="O31" s="25"/>
      <c r="P31" s="25"/>
      <c r="Q31" s="25"/>
      <c r="R31" s="25"/>
    </row>
    <row r="32" spans="1:18">
      <c r="A32" s="120"/>
      <c r="B32" s="120"/>
      <c r="D32" s="25"/>
      <c r="E32" s="17" t="s">
        <v>37</v>
      </c>
      <c r="F32" s="69">
        <f t="shared" ref="F32:Q32" ca="1" si="9">(F14+F26)/2</f>
        <v>13.164685685005292</v>
      </c>
      <c r="G32" s="69">
        <f t="shared" ca="1" si="9"/>
        <v>17.379586635922227</v>
      </c>
      <c r="H32" s="69">
        <f t="shared" ca="1" si="9"/>
        <v>18.312732634385</v>
      </c>
      <c r="I32" s="69">
        <f t="shared" ca="1" si="9"/>
        <v>20.91503593277092</v>
      </c>
      <c r="J32" s="69">
        <f t="shared" ca="1" si="9"/>
        <v>19.13745439607613</v>
      </c>
      <c r="K32" s="69">
        <f t="shared" ca="1" si="9"/>
        <v>14.814327115879939</v>
      </c>
      <c r="L32" s="69">
        <f t="shared" ca="1" si="9"/>
        <v>14.730043471673934</v>
      </c>
      <c r="M32" s="69">
        <f t="shared" ca="1" si="9"/>
        <v>17.65475993097192</v>
      </c>
      <c r="N32" s="69">
        <f t="shared" ca="1" si="9"/>
        <v>22.194997927520514</v>
      </c>
      <c r="O32" s="69">
        <f t="shared" ca="1" si="9"/>
        <v>19.021622823896543</v>
      </c>
      <c r="P32" s="69">
        <f t="shared" ca="1" si="9"/>
        <v>35.67520396509137</v>
      </c>
      <c r="Q32" s="69">
        <f t="shared" ca="1" si="9"/>
        <v>19.326533607790381</v>
      </c>
      <c r="R32" s="72">
        <f ca="1">SUM(F32:Q32)</f>
        <v>232.3269841269842</v>
      </c>
    </row>
    <row r="33" spans="1:18">
      <c r="A33" s="120"/>
      <c r="B33" s="120"/>
      <c r="D33" s="25"/>
      <c r="E33" s="17" t="s">
        <v>39</v>
      </c>
      <c r="F33" s="10">
        <f t="shared" ref="F33:Q33" ca="1" si="10">(F15+F27)/2</f>
        <v>266450</v>
      </c>
      <c r="G33" s="10">
        <f t="shared" ca="1" si="10"/>
        <v>342700</v>
      </c>
      <c r="H33" s="10">
        <f t="shared" ca="1" si="10"/>
        <v>360100</v>
      </c>
      <c r="I33" s="10">
        <f t="shared" ca="1" si="10"/>
        <v>425300</v>
      </c>
      <c r="J33" s="10">
        <f t="shared" ca="1" si="10"/>
        <v>397500</v>
      </c>
      <c r="K33" s="10">
        <f t="shared" ca="1" si="10"/>
        <v>288800</v>
      </c>
      <c r="L33" s="10">
        <f t="shared" ca="1" si="10"/>
        <v>276350</v>
      </c>
      <c r="M33" s="10">
        <f t="shared" ca="1" si="10"/>
        <v>351250</v>
      </c>
      <c r="N33" s="10">
        <f t="shared" ca="1" si="10"/>
        <v>438250</v>
      </c>
      <c r="O33" s="10">
        <f t="shared" ca="1" si="10"/>
        <v>389850</v>
      </c>
      <c r="P33" s="10">
        <f t="shared" ca="1" si="10"/>
        <v>728600</v>
      </c>
      <c r="Q33" s="10">
        <f t="shared" ca="1" si="10"/>
        <v>387000</v>
      </c>
      <c r="R33" s="73">
        <f ca="1">ROUND(SUM(F33:Q33),$A$51)</f>
        <v>4652000</v>
      </c>
    </row>
    <row r="34" spans="1:18">
      <c r="A34" s="120"/>
      <c r="B34" s="120"/>
      <c r="D34" s="25"/>
      <c r="E34" s="17" t="s">
        <v>41</v>
      </c>
      <c r="F34" s="69">
        <f t="shared" ref="F34:Q34" si="11">(F16+F28)/2</f>
        <v>4.0525412194455877</v>
      </c>
      <c r="G34" s="69">
        <f t="shared" si="11"/>
        <v>4.3301682804178672</v>
      </c>
      <c r="H34" s="69">
        <f t="shared" si="11"/>
        <v>5.4466766944387608</v>
      </c>
      <c r="I34" s="69">
        <f t="shared" si="11"/>
        <v>5.7356771958273658</v>
      </c>
      <c r="J34" s="69">
        <f t="shared" si="11"/>
        <v>6.6974610556187333</v>
      </c>
      <c r="K34" s="69">
        <f t="shared" si="11"/>
        <v>6.3323341083996709</v>
      </c>
      <c r="L34" s="69">
        <f t="shared" si="11"/>
        <v>4.6406174804863207</v>
      </c>
      <c r="M34" s="69">
        <f t="shared" si="11"/>
        <v>4.26550549736778</v>
      </c>
      <c r="N34" s="69">
        <f t="shared" si="11"/>
        <v>5.2787807722361686</v>
      </c>
      <c r="O34" s="69">
        <f t="shared" si="11"/>
        <v>6.9427198108479775</v>
      </c>
      <c r="P34" s="69">
        <f t="shared" si="11"/>
        <v>6.2398558013903758</v>
      </c>
      <c r="Q34" s="69">
        <f t="shared" si="11"/>
        <v>10.684487480348784</v>
      </c>
      <c r="R34" s="72">
        <f>SUM(F34:Q34)</f>
        <v>70.646825396825392</v>
      </c>
    </row>
    <row r="35" spans="1:18">
      <c r="A35" s="120"/>
      <c r="B35" s="120"/>
      <c r="D35" s="25"/>
      <c r="E35" s="17" t="s">
        <v>40</v>
      </c>
      <c r="F35" s="10">
        <f t="shared" ref="F35:Q35" si="12">ROUND((F17+F29)/2,$A$51)</f>
        <v>81000</v>
      </c>
      <c r="G35" s="10">
        <f t="shared" si="12"/>
        <v>85000</v>
      </c>
      <c r="H35" s="10">
        <f t="shared" si="12"/>
        <v>110000</v>
      </c>
      <c r="I35" s="10">
        <f t="shared" si="12"/>
        <v>115000</v>
      </c>
      <c r="J35" s="10">
        <f t="shared" si="12"/>
        <v>136000</v>
      </c>
      <c r="K35" s="10">
        <f t="shared" si="12"/>
        <v>127000</v>
      </c>
      <c r="L35" s="10">
        <f t="shared" si="12"/>
        <v>92000</v>
      </c>
      <c r="M35" s="10">
        <f t="shared" si="12"/>
        <v>85000</v>
      </c>
      <c r="N35" s="10">
        <f t="shared" si="12"/>
        <v>106000</v>
      </c>
      <c r="O35" s="10">
        <f t="shared" si="12"/>
        <v>140000</v>
      </c>
      <c r="P35" s="10">
        <f t="shared" si="12"/>
        <v>125000</v>
      </c>
      <c r="Q35" s="10">
        <f t="shared" si="12"/>
        <v>215000</v>
      </c>
      <c r="R35" s="73">
        <f>ROUND(SUM(F35:Q35),$A$51)</f>
        <v>1417000</v>
      </c>
    </row>
    <row r="36" spans="1:18">
      <c r="A36" s="120"/>
      <c r="B36" s="120"/>
      <c r="D36" s="25"/>
      <c r="E36" s="27"/>
      <c r="F36" s="27"/>
      <c r="G36" s="27"/>
      <c r="H36" s="27"/>
      <c r="I36" s="27"/>
      <c r="J36" s="27"/>
      <c r="K36" s="27"/>
      <c r="L36" s="27"/>
      <c r="M36" s="27"/>
      <c r="N36" s="27"/>
      <c r="O36" s="27"/>
      <c r="P36" s="27"/>
      <c r="Q36" s="27"/>
      <c r="R36" s="25"/>
    </row>
    <row r="37" spans="1:18">
      <c r="A37" s="107"/>
      <c r="B37" s="107"/>
    </row>
    <row r="38" spans="1:18">
      <c r="A38" s="107"/>
      <c r="B38" s="107"/>
    </row>
    <row r="39" spans="1:18">
      <c r="A39" s="107"/>
      <c r="B39" s="107"/>
    </row>
    <row r="40" spans="1:18">
      <c r="A40" s="107"/>
      <c r="B40" s="107"/>
    </row>
    <row r="42" spans="1:18">
      <c r="A42" s="82" t="s">
        <v>54</v>
      </c>
    </row>
    <row r="43" spans="1:18">
      <c r="A43" s="3" t="s">
        <v>34</v>
      </c>
    </row>
    <row r="44" spans="1:18">
      <c r="A44" s="3" t="s">
        <v>35</v>
      </c>
    </row>
    <row r="45" spans="1:18">
      <c r="A45" s="4">
        <v>1</v>
      </c>
    </row>
    <row r="46" spans="1:18">
      <c r="A46" s="4">
        <v>100</v>
      </c>
    </row>
    <row r="47" spans="1:18">
      <c r="A47" s="4">
        <v>1000</v>
      </c>
    </row>
    <row r="48" spans="1:18">
      <c r="A48" s="4">
        <v>10000</v>
      </c>
    </row>
    <row r="49" spans="1:18">
      <c r="A49" s="4">
        <v>100000</v>
      </c>
      <c r="E49" s="82" t="s">
        <v>55</v>
      </c>
      <c r="F49" s="3"/>
      <c r="G49" s="3"/>
      <c r="H49" s="3"/>
      <c r="I49" s="3"/>
      <c r="J49" s="3"/>
      <c r="K49" s="3"/>
      <c r="L49" s="3"/>
      <c r="M49" s="3"/>
      <c r="N49" s="3"/>
      <c r="O49" s="3"/>
      <c r="P49" s="3"/>
      <c r="Q49" s="3"/>
      <c r="R49" s="3"/>
    </row>
    <row r="50" spans="1:18">
      <c r="A50" s="4">
        <v>1000000</v>
      </c>
      <c r="E50" s="16" t="s">
        <v>46</v>
      </c>
      <c r="F50" s="3">
        <f ca="1">SUM(F5:Q5)/12</f>
        <v>8.7456593406593406</v>
      </c>
      <c r="G50" s="3">
        <f ca="1">F50+F50*'1. Bottom Up Revenue Model'!$B$7</f>
        <v>9.1829423076923078</v>
      </c>
      <c r="H50" s="3">
        <f ca="1">G50+G50*'1. Bottom Up Revenue Model'!$B$7</f>
        <v>9.6420894230769232</v>
      </c>
      <c r="I50" s="3">
        <f ca="1">H50+H50*'1. Bottom Up Revenue Model'!$B$7</f>
        <v>10.124193894230769</v>
      </c>
      <c r="J50" s="3">
        <f ca="1">I50+I50*'1. Bottom Up Revenue Model'!$B$7</f>
        <v>10.630403588942308</v>
      </c>
      <c r="K50" s="3">
        <f ca="1">J50+J50*'1. Bottom Up Revenue Model'!$B$7</f>
        <v>11.161923768389423</v>
      </c>
      <c r="L50" s="3">
        <f ca="1">K50+K50*'1. Bottom Up Revenue Model'!$B$7</f>
        <v>11.720019956808894</v>
      </c>
      <c r="M50" s="3">
        <f ca="1">L50+L50*'1. Bottom Up Revenue Model'!$B$7</f>
        <v>12.306020954649339</v>
      </c>
      <c r="N50" s="3">
        <f ca="1">M50+M50*'1. Bottom Up Revenue Model'!$B$7</f>
        <v>12.921322002381807</v>
      </c>
      <c r="O50" s="3">
        <f ca="1">N50+N50*'1. Bottom Up Revenue Model'!$B$7</f>
        <v>13.567388102500898</v>
      </c>
      <c r="P50" s="3">
        <f ca="1">O50+O50*'1. Bottom Up Revenue Model'!$B$7</f>
        <v>14.245757507625942</v>
      </c>
      <c r="Q50" s="3">
        <f ca="1">P50+P50*'1. Bottom Up Revenue Model'!$B$7</f>
        <v>14.958045383007239</v>
      </c>
      <c r="R50" s="3">
        <f t="shared" ref="R50:R55" ca="1" si="13">SUM(F50:Q50)</f>
        <v>139.20576622996518</v>
      </c>
    </row>
    <row r="51" spans="1:18">
      <c r="A51" s="3">
        <f>IF(B5=A45,0,IF(B5=A46,-2,IF(B5=A47,-3,IF(A48=B5,-4,IF(B5=A49,-5,IF(B5=A50,-6,0))))))</f>
        <v>-3</v>
      </c>
      <c r="E51" s="16" t="s">
        <v>47</v>
      </c>
      <c r="F51" s="3">
        <f ca="1">F$50*SUM($F$5:$Q$5)/SUM($F$50:$Q$50)</f>
        <v>6.5933956077515656</v>
      </c>
      <c r="G51" s="3">
        <f t="shared" ref="G51:Q51" ca="1" si="14">G50*SUM($F5:$Q5)/SUM($F50:$Q50)</f>
        <v>6.9230653881391451</v>
      </c>
      <c r="H51" s="3">
        <f t="shared" ca="1" si="14"/>
        <v>7.2692186575461015</v>
      </c>
      <c r="I51" s="3">
        <f t="shared" ca="1" si="14"/>
        <v>7.6326795904234066</v>
      </c>
      <c r="J51" s="3">
        <f t="shared" ca="1" si="14"/>
        <v>8.0143135699445764</v>
      </c>
      <c r="K51" s="3">
        <f t="shared" ca="1" si="14"/>
        <v>8.4150292484418063</v>
      </c>
      <c r="L51" s="3">
        <f t="shared" ca="1" si="14"/>
        <v>8.8357807108638955</v>
      </c>
      <c r="M51" s="3">
        <f t="shared" ca="1" si="14"/>
        <v>9.2775697464070905</v>
      </c>
      <c r="N51" s="3">
        <f t="shared" ca="1" si="14"/>
        <v>9.7414482337274464</v>
      </c>
      <c r="O51" s="3">
        <f t="shared" ca="1" si="14"/>
        <v>10.22852064541382</v>
      </c>
      <c r="P51" s="3">
        <f t="shared" ca="1" si="14"/>
        <v>10.739946677684509</v>
      </c>
      <c r="Q51" s="3">
        <f t="shared" ca="1" si="14"/>
        <v>11.276944011568736</v>
      </c>
      <c r="R51" s="3">
        <f t="shared" ca="1" si="13"/>
        <v>104.9479120879121</v>
      </c>
    </row>
    <row r="52" spans="1:18">
      <c r="A52" s="3">
        <f>1+(1*B7)</f>
        <v>1.1000000000000001</v>
      </c>
      <c r="E52" s="16" t="s">
        <v>48</v>
      </c>
      <c r="F52" s="3">
        <f ca="1">SUM(F14:Q14)/12</f>
        <v>19.360582010582014</v>
      </c>
      <c r="G52" s="3">
        <f ca="1">F52+F52*'1. Bottom Up Revenue Model'!$B$7</f>
        <v>20.328611111111115</v>
      </c>
      <c r="H52" s="3">
        <f ca="1">G52+G52*'1. Bottom Up Revenue Model'!$B$7</f>
        <v>21.34504166666667</v>
      </c>
      <c r="I52" s="3">
        <f ca="1">H52+H52*'1. Bottom Up Revenue Model'!$B$7</f>
        <v>22.412293750000003</v>
      </c>
      <c r="J52" s="3">
        <f ca="1">I52+I52*'1. Bottom Up Revenue Model'!$B$7</f>
        <v>23.532908437500005</v>
      </c>
      <c r="K52" s="3">
        <f ca="1">J52+J52*'1. Bottom Up Revenue Model'!$B$7</f>
        <v>24.709553859375006</v>
      </c>
      <c r="L52" s="3">
        <f ca="1">K52+K52*'1. Bottom Up Revenue Model'!$B$7</f>
        <v>25.945031552343757</v>
      </c>
      <c r="M52" s="3">
        <f ca="1">L52+L52*'1. Bottom Up Revenue Model'!$B$7</f>
        <v>27.242283129960946</v>
      </c>
      <c r="N52" s="3">
        <f ca="1">M52+M52*'1. Bottom Up Revenue Model'!$B$7</f>
        <v>28.604397286458994</v>
      </c>
      <c r="O52" s="3">
        <f ca="1">N52+N52*'1. Bottom Up Revenue Model'!$B$7</f>
        <v>30.034617150781944</v>
      </c>
      <c r="P52" s="3">
        <f ca="1">O52+O52*'1. Bottom Up Revenue Model'!$B$7</f>
        <v>31.536348008321042</v>
      </c>
      <c r="Q52" s="3">
        <f ca="1">P52+P52*'1. Bottom Up Revenue Model'!$B$7</f>
        <v>33.113165408737096</v>
      </c>
      <c r="R52" s="3">
        <f t="shared" ca="1" si="13"/>
        <v>308.1648333718386</v>
      </c>
    </row>
    <row r="53" spans="1:18">
      <c r="E53" s="16" t="s">
        <v>49</v>
      </c>
      <c r="F53" s="3">
        <f t="shared" ref="F53:Q53" ca="1" si="15">F$52*SUM($F$14:$Q$14)/SUM($F$52:$Q$52)</f>
        <v>14.59603803667725</v>
      </c>
      <c r="G53" s="3">
        <f t="shared" ca="1" si="15"/>
        <v>15.325839938511114</v>
      </c>
      <c r="H53" s="3">
        <f t="shared" ca="1" si="15"/>
        <v>16.092131935436669</v>
      </c>
      <c r="I53" s="3">
        <f t="shared" ca="1" si="15"/>
        <v>16.896738532208502</v>
      </c>
      <c r="J53" s="3">
        <f t="shared" ca="1" si="15"/>
        <v>17.741575458818925</v>
      </c>
      <c r="K53" s="3">
        <f t="shared" ca="1" si="15"/>
        <v>18.628654231759874</v>
      </c>
      <c r="L53" s="3">
        <f t="shared" ca="1" si="15"/>
        <v>19.560086943347866</v>
      </c>
      <c r="M53" s="3">
        <f t="shared" ca="1" si="15"/>
        <v>20.538091290515261</v>
      </c>
      <c r="N53" s="3">
        <f t="shared" ca="1" si="15"/>
        <v>21.564995855041026</v>
      </c>
      <c r="O53" s="3">
        <f t="shared" ca="1" si="15"/>
        <v>22.643245647793076</v>
      </c>
      <c r="P53" s="3">
        <f t="shared" ca="1" si="15"/>
        <v>23.775407930182734</v>
      </c>
      <c r="Q53" s="3">
        <f t="shared" ca="1" si="15"/>
        <v>24.964178326691872</v>
      </c>
      <c r="R53" s="3">
        <f t="shared" ca="1" si="13"/>
        <v>232.32698412698414</v>
      </c>
    </row>
    <row r="54" spans="1:18">
      <c r="E54" s="16" t="s">
        <v>50</v>
      </c>
      <c r="F54" s="3">
        <f>SUM(F16:Q16)/12</f>
        <v>5.8872354497354493</v>
      </c>
      <c r="G54" s="3">
        <f>F54+F54*'1. Bottom Up Revenue Model'!$B$7</f>
        <v>6.181597222222222</v>
      </c>
      <c r="H54" s="3">
        <f>G54+G54*'1. Bottom Up Revenue Model'!$B$7</f>
        <v>6.4906770833333329</v>
      </c>
      <c r="I54" s="3">
        <f>H54+H54*'1. Bottom Up Revenue Model'!$B$7</f>
        <v>6.8152109374999998</v>
      </c>
      <c r="J54" s="3">
        <f>I54+I54*'1. Bottom Up Revenue Model'!$B$7</f>
        <v>7.1559714843749997</v>
      </c>
      <c r="K54" s="3">
        <f>J54+J54*'1. Bottom Up Revenue Model'!$B$7</f>
        <v>7.5137700585937495</v>
      </c>
      <c r="L54" s="3">
        <f>K54+K54*'1. Bottom Up Revenue Model'!$B$7</f>
        <v>7.8894585615234369</v>
      </c>
      <c r="M54" s="3">
        <f>L54+L54*'1. Bottom Up Revenue Model'!$B$7</f>
        <v>8.2839314895996097</v>
      </c>
      <c r="N54" s="3">
        <f>M54+M54*'1. Bottom Up Revenue Model'!$B$7</f>
        <v>8.6981280640795902</v>
      </c>
      <c r="O54" s="3">
        <f>N54+N54*'1. Bottom Up Revenue Model'!$B$7</f>
        <v>9.1330344672835704</v>
      </c>
      <c r="P54" s="3">
        <f>O54+O54*'1. Bottom Up Revenue Model'!$B$7</f>
        <v>9.5896861906477486</v>
      </c>
      <c r="Q54" s="3">
        <f>P54+P54*'1. Bottom Up Revenue Model'!$B$7</f>
        <v>10.069170500180135</v>
      </c>
      <c r="R54" s="3">
        <f t="shared" si="13"/>
        <v>93.707871509073854</v>
      </c>
    </row>
    <row r="55" spans="1:18">
      <c r="E55" s="16" t="s">
        <v>51</v>
      </c>
      <c r="F55" s="3">
        <f t="shared" ref="F55:Q55" si="16">F54*SUM($F$16:$Q$16)/SUM($F$54:$Q$54)</f>
        <v>4.4384157722245092</v>
      </c>
      <c r="G55" s="3">
        <f t="shared" si="16"/>
        <v>4.6603365608357343</v>
      </c>
      <c r="H55" s="3">
        <f t="shared" si="16"/>
        <v>4.8933533888775216</v>
      </c>
      <c r="I55" s="3">
        <f t="shared" si="16"/>
        <v>5.1380210583213977</v>
      </c>
      <c r="J55" s="3">
        <f t="shared" si="16"/>
        <v>5.3949221112374675</v>
      </c>
      <c r="K55" s="3">
        <f t="shared" si="16"/>
        <v>5.664668216799341</v>
      </c>
      <c r="L55" s="3">
        <f t="shared" si="16"/>
        <v>5.9479016276393084</v>
      </c>
      <c r="M55" s="3">
        <f t="shared" si="16"/>
        <v>6.2452967090212743</v>
      </c>
      <c r="N55" s="3">
        <f t="shared" si="16"/>
        <v>6.5575615444723372</v>
      </c>
      <c r="O55" s="3">
        <f t="shared" si="16"/>
        <v>6.885439621695955</v>
      </c>
      <c r="P55" s="3">
        <f t="shared" si="16"/>
        <v>7.2297116027807515</v>
      </c>
      <c r="Q55" s="3">
        <f t="shared" si="16"/>
        <v>7.5911971829197888</v>
      </c>
      <c r="R55" s="3">
        <f t="shared" si="13"/>
        <v>70.646825396825378</v>
      </c>
    </row>
  </sheetData>
  <mergeCells count="3">
    <mergeCell ref="A2:B2"/>
    <mergeCell ref="A10:B10"/>
    <mergeCell ref="A11:B36"/>
  </mergeCells>
  <conditionalFormatting sqref="F26:Q26 F32:Q32 F14:Q14 F20:Q20">
    <cfRule type="colorScale" priority="3">
      <colorScale>
        <cfvo type="min"/>
        <cfvo type="percentile" val="50"/>
        <cfvo type="max"/>
        <color rgb="FF5A8AC6"/>
        <color rgb="FFFCFCFF"/>
        <color rgb="FFF8696B"/>
      </colorScale>
    </cfRule>
  </conditionalFormatting>
  <conditionalFormatting sqref="F34:Q34 F16:Q16 F28:Q28 F22:Q22">
    <cfRule type="colorScale" priority="2">
      <colorScale>
        <cfvo type="min"/>
        <cfvo type="percentile" val="50"/>
        <cfvo type="max"/>
        <color rgb="FF5A8AC6"/>
        <color rgb="FFFCFCFF"/>
        <color rgb="FFF8696B"/>
      </colorScale>
    </cfRule>
  </conditionalFormatting>
  <conditionalFormatting sqref="F5:Q8">
    <cfRule type="colorScale" priority="24">
      <colorScale>
        <cfvo type="min"/>
        <cfvo type="percentile" val="50"/>
        <cfvo type="max"/>
        <color rgb="FF5A8AC6"/>
        <color rgb="FFFCFCFF"/>
        <color rgb="FFF8696B"/>
      </colorScale>
    </cfRule>
  </conditionalFormatting>
  <dataValidations count="2">
    <dataValidation type="list" allowBlank="1" showInputMessage="1" showErrorMessage="1" sqref="B3">
      <formula1>$A$43:$A$44</formula1>
    </dataValidation>
    <dataValidation type="list" allowBlank="1" showInputMessage="1" showErrorMessage="1" sqref="B5">
      <formula1>$A$45:$A$50</formula1>
    </dataValidation>
  </dataValidations>
  <pageMargins left="0.75" right="0.75" top="1" bottom="1" header="0.5" footer="0.5"/>
  <pageSetup orientation="portrait" horizontalDpi="4294967292" verticalDpi="4294967292"/>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1. Bottom Up Revenue Model</vt:lpstr>
      <vt:lpstr>2. Top Down Revenue Model</vt:lpstr>
      <vt:lpstr>Sales &amp; SDR Hiring Plan, Quotas</vt:lpstr>
    </vt:vector>
  </TitlesOfParts>
  <Company>Double Haul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Russell</dc:creator>
  <cp:lastModifiedBy>Chris Russell</cp:lastModifiedBy>
  <dcterms:created xsi:type="dcterms:W3CDTF">2013-10-31T23:31:06Z</dcterms:created>
  <dcterms:modified xsi:type="dcterms:W3CDTF">2013-11-07T03:52:00Z</dcterms:modified>
</cp:coreProperties>
</file>